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ginstinvestors-my.sharepoint.com/personal/paz_ambrosy_cuantiacapital_com/Documents/CLASS 2021/Financiaciones estructuradas 2023/"/>
    </mc:Choice>
  </mc:AlternateContent>
  <xr:revisionPtr revIDLastSave="0" documentId="8_{B562DA1A-D4DE-4EEF-956D-A83D5CAB4CEC}" xr6:coauthVersionLast="47" xr6:coauthVersionMax="47" xr10:uidLastSave="{00000000-0000-0000-0000-000000000000}"/>
  <bookViews>
    <workbookView xWindow="-110" yWindow="-110" windowWidth="22620" windowHeight="13500" tabRatio="867" firstSheet="5" activeTab="12" xr2:uid="{CF8C5C55-491D-4CDA-8AE2-CB0CCAF02C66}"/>
  </bookViews>
  <sheets>
    <sheet name=" Cohort Analysis Example" sheetId="5" r:id="rId1"/>
    <sheet name="SaaS Main Fundamentals" sheetId="10" r:id="rId2"/>
    <sheet name="LTV CAC" sheetId="1" r:id="rId3"/>
    <sheet name=" Customer Lifetime Value (CLV)" sheetId="7" r:id="rId4"/>
    <sheet name=" Net revenue Retention (NRR)" sheetId="8" r:id="rId5"/>
    <sheet name="Gross Revenue Return" sheetId="9" r:id="rId6"/>
    <sheet name="CAC Payback Period" sheetId="11" r:id="rId7"/>
    <sheet name=" Bookings &amp; Billings" sheetId="13" r:id="rId8"/>
    <sheet name=" Cost Per Lead (CPL)" sheetId="12" r:id="rId9"/>
    <sheet name="Simple Model" sheetId="3" r:id="rId10"/>
    <sheet name="Recurring revenues KPI´s" sheetId="14" r:id="rId11"/>
    <sheet name="ARR&amp; Run Rate" sheetId="2" r:id="rId12"/>
    <sheet name=" CMRR" sheetId="18" r:id="rId13"/>
    <sheet name="Customer Order Metrics" sheetId="15" r:id="rId14"/>
    <sheet name="ACV" sheetId="19" r:id="rId15"/>
    <sheet name="TCV" sheetId="20" r:id="rId16"/>
    <sheet name="AOV" sheetId="21" r:id="rId17"/>
    <sheet name="ARPA" sheetId="22" r:id="rId18"/>
    <sheet name="GMV" sheetId="23" r:id="rId19"/>
    <sheet name="Churn Rate Analisys" sheetId="16" r:id="rId20"/>
    <sheet name="Churn Rate Calculation" sheetId="6" r:id="rId21"/>
    <sheet name=" SaaS Sales Efficiency" sheetId="17" r:id="rId22"/>
    <sheet name="SaaS Benchmarks" sheetId="25" r:id="rId23"/>
  </sheets>
  <calcPr calcId="191029" calcMode="autoNoTable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5" l="1"/>
  <c r="G17" i="25" s="1"/>
  <c r="F13" i="25"/>
  <c r="G13" i="25" s="1"/>
  <c r="G12" i="25"/>
  <c r="G16" i="25" s="1"/>
  <c r="F12" i="25"/>
  <c r="F16" i="25" s="1"/>
  <c r="F9" i="25"/>
  <c r="G10" i="25" s="1"/>
  <c r="G14" i="25" l="1"/>
  <c r="G18" i="25"/>
  <c r="D98" i="6"/>
  <c r="D91" i="6"/>
  <c r="D97" i="6" s="1"/>
  <c r="D90" i="6"/>
  <c r="D80" i="6"/>
  <c r="D78" i="6"/>
  <c r="E75" i="6" s="1"/>
  <c r="E77" i="6"/>
  <c r="F77" i="6" s="1"/>
  <c r="G77" i="6" s="1"/>
  <c r="E76" i="6"/>
  <c r="F76" i="6" s="1"/>
  <c r="G76" i="6" s="1"/>
  <c r="D99" i="6" l="1"/>
  <c r="D92" i="6"/>
  <c r="E89" i="6" s="1"/>
  <c r="E91" i="6" s="1"/>
  <c r="E97" i="6" s="1"/>
  <c r="E78" i="6"/>
  <c r="F75" i="6" s="1"/>
  <c r="F78" i="6" s="1"/>
  <c r="G75" i="6" s="1"/>
  <c r="G78" i="6" s="1"/>
  <c r="E80" i="6"/>
  <c r="C65" i="6"/>
  <c r="C67" i="6" s="1"/>
  <c r="D47" i="6"/>
  <c r="E47" i="6"/>
  <c r="F47" i="6"/>
  <c r="D46" i="6"/>
  <c r="D54" i="6" s="1"/>
  <c r="E46" i="6"/>
  <c r="E54" i="6" s="1"/>
  <c r="F46" i="6"/>
  <c r="F54" i="6" s="1"/>
  <c r="C47" i="6"/>
  <c r="C46" i="6"/>
  <c r="F80" i="6" l="1"/>
  <c r="C48" i="6"/>
  <c r="C55" i="6" s="1"/>
  <c r="E98" i="6"/>
  <c r="E99" i="6" s="1"/>
  <c r="G80" i="6"/>
  <c r="E90" i="6"/>
  <c r="E92" i="6" s="1"/>
  <c r="F89" i="6" s="1"/>
  <c r="F90" i="6" s="1"/>
  <c r="C54" i="6"/>
  <c r="D62" i="6"/>
  <c r="D65" i="6" s="1"/>
  <c r="D45" i="6" l="1"/>
  <c r="D48" i="6" s="1"/>
  <c r="E45" i="6" s="1"/>
  <c r="E48" i="6" s="1"/>
  <c r="F45" i="6" s="1"/>
  <c r="C56" i="6"/>
  <c r="F98" i="6"/>
  <c r="F91" i="6"/>
  <c r="F92" i="6" s="1"/>
  <c r="G89" i="6" s="1"/>
  <c r="D67" i="6"/>
  <c r="E62" i="6"/>
  <c r="E65" i="6" s="1"/>
  <c r="D55" i="6" l="1"/>
  <c r="D56" i="6" s="1"/>
  <c r="G90" i="6"/>
  <c r="G91" i="6"/>
  <c r="G97" i="6" s="1"/>
  <c r="G98" i="6"/>
  <c r="F97" i="6"/>
  <c r="F99" i="6" s="1"/>
  <c r="F48" i="6"/>
  <c r="F55" i="6" s="1"/>
  <c r="F56" i="6" s="1"/>
  <c r="E55" i="6"/>
  <c r="E56" i="6" s="1"/>
  <c r="E67" i="6"/>
  <c r="F62" i="6"/>
  <c r="G92" i="6" l="1"/>
  <c r="G99" i="6"/>
  <c r="F65" i="6"/>
  <c r="F67" i="6" s="1"/>
  <c r="D28" i="6" l="1"/>
  <c r="D30" i="6" s="1"/>
  <c r="G24" i="6" s="1"/>
  <c r="H24" i="6" s="1"/>
  <c r="H25" i="6"/>
  <c r="D31" i="6" s="1"/>
  <c r="I26" i="6" l="1"/>
  <c r="D33" i="6"/>
  <c r="F10" i="23"/>
  <c r="F16" i="23" s="1"/>
  <c r="F17" i="22"/>
  <c r="F16" i="22"/>
  <c r="G13" i="22"/>
  <c r="F13" i="22"/>
  <c r="G8" i="22"/>
  <c r="G17" i="22" s="1"/>
  <c r="G7" i="22"/>
  <c r="G16" i="22" s="1"/>
  <c r="F10" i="21"/>
  <c r="F11" i="20"/>
  <c r="E11" i="20"/>
  <c r="F12" i="19"/>
  <c r="G12" i="19"/>
  <c r="E12" i="19"/>
  <c r="G17" i="18"/>
  <c r="G16" i="18"/>
  <c r="G10" i="18"/>
  <c r="G11" i="18" s="1"/>
  <c r="G22" i="18" s="1"/>
  <c r="G13" i="19" l="1"/>
  <c r="G20" i="18"/>
  <c r="G19" i="18"/>
  <c r="F22" i="18" s="1"/>
  <c r="G21" i="18"/>
  <c r="F15" i="23"/>
  <c r="H16" i="12"/>
  <c r="H17" i="12" s="1"/>
  <c r="H9" i="12"/>
  <c r="H10" i="12" s="1"/>
  <c r="D30" i="13"/>
  <c r="D22" i="13"/>
  <c r="E21" i="13"/>
  <c r="F21" i="13"/>
  <c r="G21" i="13"/>
  <c r="H21" i="13"/>
  <c r="I21" i="13"/>
  <c r="J21" i="13"/>
  <c r="K21" i="13"/>
  <c r="L21" i="13"/>
  <c r="M21" i="13"/>
  <c r="N21" i="13"/>
  <c r="O21" i="13"/>
  <c r="E14" i="13"/>
  <c r="F14" i="13"/>
  <c r="G14" i="13"/>
  <c r="H14" i="13"/>
  <c r="I14" i="13"/>
  <c r="J14" i="13"/>
  <c r="K14" i="13"/>
  <c r="L14" i="13"/>
  <c r="M14" i="13"/>
  <c r="N14" i="13"/>
  <c r="O14" i="13"/>
  <c r="D14" i="13"/>
  <c r="E13" i="13"/>
  <c r="F13" i="13"/>
  <c r="G13" i="13"/>
  <c r="H13" i="13"/>
  <c r="I13" i="13"/>
  <c r="J13" i="13"/>
  <c r="K13" i="13"/>
  <c r="L13" i="13"/>
  <c r="M13" i="13"/>
  <c r="N13" i="13"/>
  <c r="O13" i="13"/>
  <c r="D13" i="13"/>
  <c r="H5" i="13"/>
  <c r="E22" i="13" s="1"/>
  <c r="H4" i="13"/>
  <c r="I29" i="13" s="1"/>
  <c r="F15" i="11"/>
  <c r="F11" i="11"/>
  <c r="H29" i="13" l="1"/>
  <c r="O22" i="13"/>
  <c r="O23" i="13" s="1"/>
  <c r="J22" i="13"/>
  <c r="J30" i="13" s="1"/>
  <c r="F29" i="13"/>
  <c r="N22" i="13"/>
  <c r="N23" i="13" s="1"/>
  <c r="K15" i="13"/>
  <c r="J15" i="13"/>
  <c r="O29" i="13"/>
  <c r="G29" i="13"/>
  <c r="M22" i="13"/>
  <c r="M23" i="13" s="1"/>
  <c r="N29" i="13"/>
  <c r="G23" i="18"/>
  <c r="E23" i="13"/>
  <c r="K22" i="13"/>
  <c r="K23" i="13" s="1"/>
  <c r="F19" i="11"/>
  <c r="M29" i="13"/>
  <c r="H15" i="13"/>
  <c r="L22" i="13"/>
  <c r="L23" i="13" s="1"/>
  <c r="E29" i="13"/>
  <c r="F15" i="13"/>
  <c r="E15" i="13"/>
  <c r="D15" i="13"/>
  <c r="O15" i="13"/>
  <c r="G22" i="13"/>
  <c r="L29" i="13"/>
  <c r="N15" i="13"/>
  <c r="F22" i="13"/>
  <c r="K29" i="13"/>
  <c r="I15" i="13"/>
  <c r="G15" i="13"/>
  <c r="I22" i="13"/>
  <c r="I30" i="13" s="1"/>
  <c r="I31" i="13" s="1"/>
  <c r="H22" i="13"/>
  <c r="H23" i="13" s="1"/>
  <c r="M15" i="13"/>
  <c r="J29" i="13"/>
  <c r="D21" i="13"/>
  <c r="D23" i="13" s="1"/>
  <c r="L15" i="13"/>
  <c r="D29" i="13"/>
  <c r="D31" i="13" s="1"/>
  <c r="E30" i="13"/>
  <c r="F8" i="9"/>
  <c r="F17" i="9"/>
  <c r="F9" i="9" s="1"/>
  <c r="N30" i="13" l="1"/>
  <c r="N31" i="13" s="1"/>
  <c r="J23" i="13"/>
  <c r="L30" i="13"/>
  <c r="L31" i="13" s="1"/>
  <c r="K3" i="13"/>
  <c r="K30" i="13"/>
  <c r="K31" i="13" s="1"/>
  <c r="E31" i="13"/>
  <c r="K5" i="13" s="1"/>
  <c r="O30" i="13"/>
  <c r="O31" i="13" s="1"/>
  <c r="M30" i="13"/>
  <c r="M31" i="13" s="1"/>
  <c r="I23" i="13"/>
  <c r="K4" i="13"/>
  <c r="F10" i="9"/>
  <c r="G23" i="13"/>
  <c r="G30" i="13"/>
  <c r="G31" i="13" s="1"/>
  <c r="H30" i="13"/>
  <c r="H31" i="13" s="1"/>
  <c r="J31" i="13"/>
  <c r="F23" i="13"/>
  <c r="F30" i="13"/>
  <c r="F31" i="13" s="1"/>
  <c r="I12" i="8"/>
  <c r="I9" i="8"/>
  <c r="F12" i="8"/>
  <c r="F13" i="8" s="1"/>
  <c r="I15" i="8" l="1"/>
  <c r="F15" i="8"/>
  <c r="I13" i="8"/>
  <c r="D31" i="7"/>
  <c r="D33" i="7" s="1"/>
  <c r="D28" i="7"/>
  <c r="H14" i="7"/>
  <c r="H16" i="7" s="1"/>
  <c r="H18" i="7" s="1"/>
  <c r="C43" i="7" l="1"/>
  <c r="C47" i="7" s="1"/>
  <c r="E10" i="6"/>
  <c r="E9" i="6"/>
  <c r="E11" i="6" l="1"/>
  <c r="F8" i="6" s="1"/>
  <c r="F9" i="6" s="1"/>
  <c r="F10" i="6" l="1"/>
  <c r="F11" i="6" s="1"/>
  <c r="G8" i="6" s="1"/>
  <c r="G10" i="6" s="1"/>
  <c r="E14" i="6"/>
  <c r="E15" i="6" s="1"/>
  <c r="F14" i="6" l="1"/>
  <c r="F15" i="6" s="1"/>
  <c r="G9" i="6"/>
  <c r="G11" i="6" s="1"/>
  <c r="H8" i="6" l="1"/>
  <c r="G14" i="6"/>
  <c r="G15" i="6" s="1"/>
  <c r="H10" i="6" l="1"/>
  <c r="H9" i="6"/>
  <c r="F80" i="5"/>
  <c r="E98" i="5" s="1"/>
  <c r="E116" i="5" s="1"/>
  <c r="P61" i="5"/>
  <c r="O61" i="5"/>
  <c r="N61" i="5"/>
  <c r="M61" i="5"/>
  <c r="L61" i="5"/>
  <c r="K61" i="5"/>
  <c r="J61" i="5"/>
  <c r="I61" i="5"/>
  <c r="H61" i="5"/>
  <c r="G61" i="5"/>
  <c r="F61" i="5"/>
  <c r="F53" i="5"/>
  <c r="G52" i="5"/>
  <c r="F52" i="5"/>
  <c r="F51" i="5"/>
  <c r="F69" i="5" s="1"/>
  <c r="F50" i="5"/>
  <c r="H68" i="5" s="1"/>
  <c r="G49" i="5"/>
  <c r="F49" i="5"/>
  <c r="F48" i="5"/>
  <c r="K66" i="5" s="1"/>
  <c r="F47" i="5"/>
  <c r="F84" i="5" s="1"/>
  <c r="F46" i="5"/>
  <c r="F83" i="5" s="1"/>
  <c r="G45" i="5"/>
  <c r="F45" i="5"/>
  <c r="L63" i="5" s="1"/>
  <c r="O44" i="5"/>
  <c r="M44" i="5"/>
  <c r="K44" i="5"/>
  <c r="I44" i="5"/>
  <c r="G44" i="5"/>
  <c r="F44" i="5"/>
  <c r="J42" i="5"/>
  <c r="K42" i="5" s="1"/>
  <c r="H42" i="5"/>
  <c r="G42" i="5"/>
  <c r="F42" i="5"/>
  <c r="N60" i="5" s="1"/>
  <c r="F35" i="5"/>
  <c r="G34" i="5"/>
  <c r="F34" i="5"/>
  <c r="H33" i="5"/>
  <c r="G33" i="5"/>
  <c r="F33" i="5"/>
  <c r="I32" i="5"/>
  <c r="H32" i="5"/>
  <c r="G32" i="5"/>
  <c r="F32" i="5"/>
  <c r="J31" i="5"/>
  <c r="I31" i="5"/>
  <c r="H31" i="5"/>
  <c r="G31" i="5"/>
  <c r="F31" i="5"/>
  <c r="K30" i="5"/>
  <c r="J30" i="5"/>
  <c r="I30" i="5"/>
  <c r="H30" i="5"/>
  <c r="G30" i="5"/>
  <c r="F30" i="5"/>
  <c r="L29" i="5"/>
  <c r="K29" i="5"/>
  <c r="J29" i="5"/>
  <c r="I29" i="5"/>
  <c r="H29" i="5"/>
  <c r="G29" i="5"/>
  <c r="F29" i="5"/>
  <c r="M28" i="5"/>
  <c r="L28" i="5"/>
  <c r="K28" i="5"/>
  <c r="J28" i="5"/>
  <c r="I28" i="5"/>
  <c r="H28" i="5"/>
  <c r="G28" i="5"/>
  <c r="F28" i="5"/>
  <c r="N27" i="5"/>
  <c r="M27" i="5"/>
  <c r="L27" i="5"/>
  <c r="K27" i="5"/>
  <c r="J27" i="5"/>
  <c r="I27" i="5"/>
  <c r="H27" i="5"/>
  <c r="G27" i="5"/>
  <c r="F27" i="5"/>
  <c r="O26" i="5"/>
  <c r="N26" i="5"/>
  <c r="M26" i="5"/>
  <c r="L26" i="5"/>
  <c r="K26" i="5"/>
  <c r="J26" i="5"/>
  <c r="I26" i="5"/>
  <c r="H26" i="5"/>
  <c r="G26" i="5"/>
  <c r="F26" i="5"/>
  <c r="P25" i="5"/>
  <c r="O25" i="5"/>
  <c r="N25" i="5"/>
  <c r="M25" i="5"/>
  <c r="L25" i="5"/>
  <c r="K25" i="5"/>
  <c r="J25" i="5"/>
  <c r="I25" i="5"/>
  <c r="H25" i="5"/>
  <c r="G25" i="5"/>
  <c r="F25" i="5"/>
  <c r="Q24" i="5"/>
  <c r="P24" i="5"/>
  <c r="O24" i="5"/>
  <c r="N24" i="5"/>
  <c r="M24" i="5"/>
  <c r="L24" i="5"/>
  <c r="K24" i="5"/>
  <c r="J24" i="5"/>
  <c r="I24" i="5"/>
  <c r="H24" i="5"/>
  <c r="G24" i="5"/>
  <c r="F24" i="5"/>
  <c r="H11" i="6" l="1"/>
  <c r="I8" i="6" s="1"/>
  <c r="G60" i="5"/>
  <c r="K64" i="5"/>
  <c r="K65" i="5"/>
  <c r="F66" i="5"/>
  <c r="M62" i="5"/>
  <c r="G62" i="5"/>
  <c r="H66" i="5"/>
  <c r="F85" i="5"/>
  <c r="E103" i="5" s="1"/>
  <c r="E121" i="5" s="1"/>
  <c r="O62" i="5"/>
  <c r="I62" i="5"/>
  <c r="I68" i="5"/>
  <c r="K62" i="5"/>
  <c r="G70" i="5"/>
  <c r="F70" i="5"/>
  <c r="G80" i="5"/>
  <c r="M60" i="5"/>
  <c r="F89" i="5"/>
  <c r="E107" i="5" s="1"/>
  <c r="E125" i="5" s="1"/>
  <c r="O60" i="5"/>
  <c r="F62" i="5"/>
  <c r="H60" i="5"/>
  <c r="N62" i="5"/>
  <c r="E102" i="5"/>
  <c r="E120" i="5" s="1"/>
  <c r="F86" i="5"/>
  <c r="J67" i="5"/>
  <c r="H67" i="5"/>
  <c r="I67" i="5"/>
  <c r="F71" i="5"/>
  <c r="F90" i="5"/>
  <c r="E108" i="5" s="1"/>
  <c r="E126" i="5" s="1"/>
  <c r="G67" i="5"/>
  <c r="L42" i="5"/>
  <c r="L60" i="5" s="1"/>
  <c r="K60" i="5"/>
  <c r="M63" i="5"/>
  <c r="K63" i="5"/>
  <c r="J63" i="5"/>
  <c r="F63" i="5"/>
  <c r="I63" i="5"/>
  <c r="H63" i="5"/>
  <c r="N63" i="5"/>
  <c r="F82" i="5"/>
  <c r="G63" i="5"/>
  <c r="F67" i="5"/>
  <c r="E101" i="5"/>
  <c r="E119" i="5" s="1"/>
  <c r="H62" i="5"/>
  <c r="M64" i="5"/>
  <c r="G46" i="5"/>
  <c r="G64" i="5" s="1"/>
  <c r="G50" i="5"/>
  <c r="G68" i="5" s="1"/>
  <c r="P60" i="5"/>
  <c r="F64" i="5"/>
  <c r="F65" i="5"/>
  <c r="H69" i="5"/>
  <c r="F87" i="5"/>
  <c r="I60" i="5"/>
  <c r="Q60" i="5"/>
  <c r="J62" i="5"/>
  <c r="G47" i="5"/>
  <c r="G65" i="5" s="1"/>
  <c r="G51" i="5"/>
  <c r="G69" i="5" s="1"/>
  <c r="J60" i="5"/>
  <c r="H64" i="5"/>
  <c r="H65" i="5"/>
  <c r="I66" i="5"/>
  <c r="F68" i="5"/>
  <c r="L62" i="5"/>
  <c r="I64" i="5"/>
  <c r="I65" i="5"/>
  <c r="J66" i="5"/>
  <c r="F81" i="5"/>
  <c r="G48" i="5"/>
  <c r="G66" i="5" s="1"/>
  <c r="J64" i="5"/>
  <c r="J65" i="5"/>
  <c r="F79" i="5"/>
  <c r="F88" i="5"/>
  <c r="F60" i="5"/>
  <c r="L64" i="5"/>
  <c r="L65" i="5"/>
  <c r="F16" i="2"/>
  <c r="L33" i="2"/>
  <c r="J33" i="2"/>
  <c r="H29" i="2"/>
  <c r="H28" i="2"/>
  <c r="F17" i="2"/>
  <c r="E8" i="2"/>
  <c r="H14" i="6" l="1"/>
  <c r="H15" i="6" s="1"/>
  <c r="I10" i="6"/>
  <c r="I9" i="6"/>
  <c r="F18" i="2"/>
  <c r="F21" i="2" s="1"/>
  <c r="F22" i="2" s="1"/>
  <c r="G20" i="2" s="1"/>
  <c r="G17" i="2" s="1"/>
  <c r="G89" i="5"/>
  <c r="F107" i="5" s="1"/>
  <c r="F125" i="5" s="1"/>
  <c r="H80" i="5"/>
  <c r="F98" i="5"/>
  <c r="F116" i="5" s="1"/>
  <c r="H30" i="2"/>
  <c r="I27" i="2" s="1"/>
  <c r="G82" i="5"/>
  <c r="E100" i="5"/>
  <c r="E118" i="5" s="1"/>
  <c r="G85" i="5"/>
  <c r="G86" i="5"/>
  <c r="E104" i="5"/>
  <c r="E122" i="5" s="1"/>
  <c r="E97" i="5"/>
  <c r="E115" i="5" s="1"/>
  <c r="G79" i="5"/>
  <c r="G81" i="5"/>
  <c r="E99" i="5"/>
  <c r="E117" i="5" s="1"/>
  <c r="G83" i="5"/>
  <c r="G84" i="5"/>
  <c r="E105" i="5"/>
  <c r="E123" i="5" s="1"/>
  <c r="G87" i="5"/>
  <c r="E106" i="5"/>
  <c r="E124" i="5" s="1"/>
  <c r="G88" i="5"/>
  <c r="H32" i="2" l="1"/>
  <c r="H34" i="2" s="1"/>
  <c r="I11" i="6"/>
  <c r="I14" i="6" s="1"/>
  <c r="I15" i="6" s="1"/>
  <c r="G16" i="2"/>
  <c r="G18" i="2" s="1"/>
  <c r="G21" i="2" s="1"/>
  <c r="G22" i="2" s="1"/>
  <c r="G98" i="5"/>
  <c r="G116" i="5" s="1"/>
  <c r="I80" i="5"/>
  <c r="H79" i="5"/>
  <c r="F97" i="5"/>
  <c r="F115" i="5" s="1"/>
  <c r="H86" i="5"/>
  <c r="F104" i="5"/>
  <c r="F122" i="5" s="1"/>
  <c r="F103" i="5"/>
  <c r="F121" i="5" s="1"/>
  <c r="H85" i="5"/>
  <c r="F99" i="5"/>
  <c r="F117" i="5" s="1"/>
  <c r="H81" i="5"/>
  <c r="H87" i="5"/>
  <c r="F105" i="5"/>
  <c r="F123" i="5" s="1"/>
  <c r="F102" i="5"/>
  <c r="F120" i="5" s="1"/>
  <c r="H84" i="5"/>
  <c r="H83" i="5"/>
  <c r="F101" i="5"/>
  <c r="F119" i="5" s="1"/>
  <c r="H88" i="5"/>
  <c r="G106" i="5" s="1"/>
  <c r="G124" i="5" s="1"/>
  <c r="F106" i="5"/>
  <c r="F124" i="5" s="1"/>
  <c r="F100" i="5"/>
  <c r="F118" i="5" s="1"/>
  <c r="H82" i="5"/>
  <c r="I29" i="2"/>
  <c r="I28" i="2"/>
  <c r="G53" i="3"/>
  <c r="G52" i="3"/>
  <c r="G51" i="3"/>
  <c r="G44" i="3"/>
  <c r="G38" i="3"/>
  <c r="G30" i="3"/>
  <c r="G33" i="3" s="1"/>
  <c r="G27" i="3"/>
  <c r="G29" i="3" s="1"/>
  <c r="G18" i="3"/>
  <c r="G10" i="3"/>
  <c r="G12" i="3" s="1"/>
  <c r="G14" i="3" s="1"/>
  <c r="C44" i="1"/>
  <c r="C34" i="1"/>
  <c r="D39" i="1" s="1"/>
  <c r="G20" i="3" l="1"/>
  <c r="G54" i="3"/>
  <c r="G56" i="3" s="1"/>
  <c r="G34" i="3"/>
  <c r="J80" i="5"/>
  <c r="H98" i="5"/>
  <c r="H116" i="5" s="1"/>
  <c r="D38" i="1"/>
  <c r="I81" i="5"/>
  <c r="G99" i="5"/>
  <c r="G117" i="5" s="1"/>
  <c r="G103" i="5"/>
  <c r="G121" i="5" s="1"/>
  <c r="I85" i="5"/>
  <c r="G102" i="5"/>
  <c r="G120" i="5" s="1"/>
  <c r="I84" i="5"/>
  <c r="I86" i="5"/>
  <c r="G104" i="5"/>
  <c r="G122" i="5" s="1"/>
  <c r="G101" i="5"/>
  <c r="G119" i="5" s="1"/>
  <c r="I83" i="5"/>
  <c r="G100" i="5"/>
  <c r="G118" i="5" s="1"/>
  <c r="I82" i="5"/>
  <c r="I87" i="5"/>
  <c r="H105" i="5" s="1"/>
  <c r="H123" i="5" s="1"/>
  <c r="G105" i="5"/>
  <c r="G123" i="5" s="1"/>
  <c r="G97" i="5"/>
  <c r="G115" i="5" s="1"/>
  <c r="I79" i="5"/>
  <c r="I30" i="2"/>
  <c r="E27" i="1"/>
  <c r="D16" i="1"/>
  <c r="D15" i="1"/>
  <c r="D14" i="1"/>
  <c r="G58" i="3" l="1"/>
  <c r="I98" i="5"/>
  <c r="I116" i="5" s="1"/>
  <c r="K80" i="5"/>
  <c r="D17" i="1"/>
  <c r="D22" i="1" s="1"/>
  <c r="J84" i="5"/>
  <c r="H102" i="5"/>
  <c r="H120" i="5" s="1"/>
  <c r="H103" i="5"/>
  <c r="H121" i="5" s="1"/>
  <c r="J85" i="5"/>
  <c r="H100" i="5"/>
  <c r="H118" i="5" s="1"/>
  <c r="J82" i="5"/>
  <c r="H104" i="5"/>
  <c r="H122" i="5" s="1"/>
  <c r="J86" i="5"/>
  <c r="I104" i="5" s="1"/>
  <c r="I122" i="5" s="1"/>
  <c r="J83" i="5"/>
  <c r="H101" i="5"/>
  <c r="H119" i="5" s="1"/>
  <c r="H97" i="5"/>
  <c r="H115" i="5" s="1"/>
  <c r="J79" i="5"/>
  <c r="H99" i="5"/>
  <c r="H117" i="5" s="1"/>
  <c r="J81" i="5"/>
  <c r="J27" i="2"/>
  <c r="I32" i="2"/>
  <c r="I34" i="2" s="1"/>
  <c r="V115" i="5" l="1"/>
  <c r="C28" i="1"/>
  <c r="L80" i="5"/>
  <c r="J98" i="5"/>
  <c r="J116" i="5" s="1"/>
  <c r="I99" i="5"/>
  <c r="I117" i="5" s="1"/>
  <c r="K81" i="5"/>
  <c r="I97" i="5"/>
  <c r="I115" i="5" s="1"/>
  <c r="K79" i="5"/>
  <c r="K85" i="5"/>
  <c r="J103" i="5" s="1"/>
  <c r="J121" i="5" s="1"/>
  <c r="I103" i="5"/>
  <c r="I121" i="5" s="1"/>
  <c r="K82" i="5"/>
  <c r="I100" i="5"/>
  <c r="I118" i="5" s="1"/>
  <c r="K83" i="5"/>
  <c r="I101" i="5"/>
  <c r="I119" i="5" s="1"/>
  <c r="K84" i="5"/>
  <c r="I102" i="5"/>
  <c r="I120" i="5" s="1"/>
  <c r="J29" i="2"/>
  <c r="J28" i="2"/>
  <c r="J30" i="2" l="1"/>
  <c r="J32" i="2" s="1"/>
  <c r="J34" i="2" s="1"/>
  <c r="K98" i="5"/>
  <c r="K116" i="5" s="1"/>
  <c r="M80" i="5"/>
  <c r="C46" i="1"/>
  <c r="C29" i="1"/>
  <c r="L84" i="5"/>
  <c r="K102" i="5" s="1"/>
  <c r="K120" i="5" s="1"/>
  <c r="J102" i="5"/>
  <c r="J120" i="5" s="1"/>
  <c r="J97" i="5"/>
  <c r="J115" i="5" s="1"/>
  <c r="L79" i="5"/>
  <c r="L83" i="5"/>
  <c r="J101" i="5"/>
  <c r="J119" i="5" s="1"/>
  <c r="J99" i="5"/>
  <c r="J117" i="5" s="1"/>
  <c r="L81" i="5"/>
  <c r="L82" i="5"/>
  <c r="J100" i="5"/>
  <c r="J118" i="5" s="1"/>
  <c r="K27" i="2" l="1"/>
  <c r="K28" i="2" s="1"/>
  <c r="N80" i="5"/>
  <c r="L98" i="5"/>
  <c r="L116" i="5" s="1"/>
  <c r="K101" i="5"/>
  <c r="K119" i="5" s="1"/>
  <c r="M83" i="5"/>
  <c r="L101" i="5" s="1"/>
  <c r="L119" i="5" s="1"/>
  <c r="M79" i="5"/>
  <c r="K97" i="5"/>
  <c r="K115" i="5" s="1"/>
  <c r="M82" i="5"/>
  <c r="K100" i="5"/>
  <c r="K118" i="5" s="1"/>
  <c r="M81" i="5"/>
  <c r="K99" i="5"/>
  <c r="K117" i="5" s="1"/>
  <c r="K29" i="2" l="1"/>
  <c r="K30" i="2" s="1"/>
  <c r="L27" i="2" s="1"/>
  <c r="M98" i="5"/>
  <c r="M116" i="5" s="1"/>
  <c r="O80" i="5"/>
  <c r="N81" i="5"/>
  <c r="L99" i="5"/>
  <c r="L117" i="5" s="1"/>
  <c r="N82" i="5"/>
  <c r="M100" i="5" s="1"/>
  <c r="M118" i="5" s="1"/>
  <c r="L100" i="5"/>
  <c r="L118" i="5" s="1"/>
  <c r="N79" i="5"/>
  <c r="L97" i="5"/>
  <c r="L115" i="5" s="1"/>
  <c r="K32" i="2" l="1"/>
  <c r="K34" i="2" s="1"/>
  <c r="P80" i="5"/>
  <c r="O98" i="5" s="1"/>
  <c r="O116" i="5" s="1"/>
  <c r="N98" i="5"/>
  <c r="N116" i="5" s="1"/>
  <c r="M97" i="5"/>
  <c r="M115" i="5" s="1"/>
  <c r="O79" i="5"/>
  <c r="O81" i="5"/>
  <c r="N99" i="5" s="1"/>
  <c r="N117" i="5" s="1"/>
  <c r="M99" i="5"/>
  <c r="M117" i="5" s="1"/>
  <c r="L28" i="2"/>
  <c r="L29" i="2"/>
  <c r="L30" i="2" l="1"/>
  <c r="L32" i="2" s="1"/>
  <c r="L34" i="2" s="1"/>
  <c r="P79" i="5"/>
  <c r="N97" i="5"/>
  <c r="N115" i="5" s="1"/>
  <c r="O97" i="5" l="1"/>
  <c r="O115" i="5" s="1"/>
  <c r="Q79" i="5"/>
  <c r="P97" i="5" s="1"/>
  <c r="P115" i="5" s="1"/>
  <c r="V117" i="5" s="1"/>
</calcChain>
</file>

<file path=xl/sharedStrings.xml><?xml version="1.0" encoding="utf-8"?>
<sst xmlns="http://schemas.openxmlformats.org/spreadsheetml/2006/main" count="517" uniqueCount="328">
  <si>
    <t>Main examples for the CAC</t>
  </si>
  <si>
    <t>Program Spend</t>
  </si>
  <si>
    <t>Agencies</t>
  </si>
  <si>
    <t>SEM Spend</t>
  </si>
  <si>
    <t>Trade Show</t>
  </si>
  <si>
    <t>Costs</t>
  </si>
  <si>
    <t>Personnel</t>
  </si>
  <si>
    <t>External Agencies</t>
  </si>
  <si>
    <t>TOTAL COST</t>
  </si>
  <si>
    <t>CAC</t>
  </si>
  <si>
    <t>New Customers</t>
  </si>
  <si>
    <t>Monthly items</t>
  </si>
  <si>
    <t>Comments</t>
  </si>
  <si>
    <t>Number of marketing employees</t>
  </si>
  <si>
    <t>Cost per employee per month</t>
  </si>
  <si>
    <t>(Should be fully loaded, which includes benefits)</t>
  </si>
  <si>
    <t>5 employees</t>
  </si>
  <si>
    <t>In € thousands</t>
  </si>
  <si>
    <t>CAC Calculation</t>
  </si>
  <si>
    <t>LTV:CAC KPI: How much are you generating per customer.</t>
  </si>
  <si>
    <t>LTV:</t>
  </si>
  <si>
    <t>LTV:CAC</t>
  </si>
  <si>
    <t>Churn Rate</t>
  </si>
  <si>
    <t xml:space="preserve"> Customers Lost</t>
  </si>
  <si>
    <t>Churn rate</t>
  </si>
  <si>
    <t>LTV Calculation</t>
  </si>
  <si>
    <t>Existing Customers</t>
  </si>
  <si>
    <t>Average Order Value</t>
  </si>
  <si>
    <t>Repeat Sales</t>
  </si>
  <si>
    <t>Months of retention (Average)</t>
  </si>
  <si>
    <t>LTV</t>
  </si>
  <si>
    <t>Simple CAC Calculation Model</t>
  </si>
  <si>
    <t>Simple LTV/CAC Calculation Multiple</t>
  </si>
  <si>
    <t>Annual Recurring Revenue (ARR)</t>
  </si>
  <si>
    <t>(÷) Number of Customers</t>
  </si>
  <si>
    <t>Average Revenue Per Account (ARPA)</t>
  </si>
  <si>
    <t>(×) Gross Margin</t>
  </si>
  <si>
    <t>Gross Contribution Per Customer</t>
  </si>
  <si>
    <t>(÷) Annual Churn Rate</t>
  </si>
  <si>
    <t>Customer Lifetime Value (LTV)</t>
  </si>
  <si>
    <t>Sales and Marketing Spend</t>
  </si>
  <si>
    <t>(÷) Number of New Customers Added</t>
  </si>
  <si>
    <t>Customer Acquisition Cost (CAC)</t>
  </si>
  <si>
    <t>Implied LTV/CAC</t>
  </si>
  <si>
    <t>Discounted LTV/CAC Ratio Calculation</t>
  </si>
  <si>
    <t>Annual Retention Rate</t>
  </si>
  <si>
    <t>% Annual Churn Rate</t>
  </si>
  <si>
    <t>Discount Rate</t>
  </si>
  <si>
    <t>(×) Margin Multiple</t>
  </si>
  <si>
    <t>Sales Team Headcount</t>
  </si>
  <si>
    <t>(×) Average Salary Per Employee</t>
  </si>
  <si>
    <t>Sales Team Expense</t>
  </si>
  <si>
    <t>Digital Marketing Campaign Expense (DM)</t>
  </si>
  <si>
    <t>Total Site Visits</t>
  </si>
  <si>
    <t>(×) Cost Per Click</t>
  </si>
  <si>
    <t>Search Engine Marketing Expense (SEM)</t>
  </si>
  <si>
    <t>Sales Productivity (Per Rep)</t>
  </si>
  <si>
    <t>Digital Marketing Conversion Rate (% Spend)</t>
  </si>
  <si>
    <t>SEM Conversion Rate (% Site Clicks)</t>
  </si>
  <si>
    <t>New Customers (Sales Team)</t>
  </si>
  <si>
    <t>New Customers (DM Campaign)</t>
  </si>
  <si>
    <t>New Customers (SEM Campaign)</t>
  </si>
  <si>
    <t>Total Number of New Customers Added</t>
  </si>
  <si>
    <t xml:space="preserve">Run Rate Revenue </t>
  </si>
  <si>
    <t xml:space="preserve">($ in thousands) </t>
  </si>
  <si>
    <t xml:space="preserve">MRQ </t>
  </si>
  <si>
    <t xml:space="preserve">Quarterly Revenue </t>
  </si>
  <si>
    <t xml:space="preserve">(×) Number of Periods in 1 Year </t>
  </si>
  <si>
    <t>($ in 000s)</t>
  </si>
  <si>
    <t>New ARR</t>
  </si>
  <si>
    <t>(–) Churned ARR</t>
  </si>
  <si>
    <t>(+) Expansion ARR</t>
  </si>
  <si>
    <t>Net New ARR</t>
  </si>
  <si>
    <t>Beginning ARR</t>
  </si>
  <si>
    <t>(+) Net New ARR</t>
  </si>
  <si>
    <t>Ending ARR</t>
  </si>
  <si>
    <t xml:space="preserve">% Churn </t>
  </si>
  <si>
    <t xml:space="preserve">% Upsell </t>
  </si>
  <si>
    <t>Monthly Recurring Revenue (MRR)</t>
  </si>
  <si>
    <t>Beginning Number of Active Accounts</t>
  </si>
  <si>
    <t>(–) Lost Accounts</t>
  </si>
  <si>
    <t>(+) New Additions</t>
  </si>
  <si>
    <t>Ending Number of Active Accounts</t>
  </si>
  <si>
    <t xml:space="preserve">% Acquistions </t>
  </si>
  <si>
    <t>(×) Average Revenue Per Account (ARPA) Monthly</t>
  </si>
  <si>
    <t>Monthly Recurring Revenue (MRR) Projected</t>
  </si>
  <si>
    <t>Jan</t>
  </si>
  <si>
    <t>Feb</t>
  </si>
  <si>
    <t>March</t>
  </si>
  <si>
    <t>April</t>
  </si>
  <si>
    <t>May</t>
  </si>
  <si>
    <t xml:space="preserve"> Example Customer Cohort</t>
  </si>
  <si>
    <t>Month</t>
  </si>
  <si>
    <t>Start Month</t>
  </si>
  <si>
    <t>January</t>
  </si>
  <si>
    <t>February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</si>
  <si>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</si>
  <si>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</si>
  <si>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</si>
  <si>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</si>
  <si>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</si>
  <si>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</si>
  <si>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</si>
  <si>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</si>
  <si>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Customer Retention by Cohort</t>
  </si>
  <si>
    <t xml:space="preserve"> Net Revenue By Cohort</t>
  </si>
  <si>
    <t xml:space="preserve"> Assumptions</t>
  </si>
  <si>
    <t>Average Contract Value</t>
  </si>
  <si>
    <t>Net Dollar Retention (NDR)</t>
  </si>
  <si>
    <t>Cumulative Lifetime value per cohort, pero customer</t>
  </si>
  <si>
    <t>Customer Lifetime Value By cohort</t>
  </si>
  <si>
    <t>Customer Lifetime Value by Cohort</t>
  </si>
  <si>
    <t>Gross Margin</t>
  </si>
  <si>
    <t>CAC(€)</t>
  </si>
  <si>
    <t>LTV/CAC</t>
  </si>
  <si>
    <t xml:space="preserve"> Churn Rate Calculation</t>
  </si>
  <si>
    <t>In €Thousands</t>
  </si>
  <si>
    <t>Year 1</t>
  </si>
  <si>
    <t>Year 2</t>
  </si>
  <si>
    <t>Year 3</t>
  </si>
  <si>
    <t>Year 4</t>
  </si>
  <si>
    <t>Beginning Subscribers</t>
  </si>
  <si>
    <t>(+) New Subscribers</t>
  </si>
  <si>
    <t>(-) Churn Rate</t>
  </si>
  <si>
    <t>Year 5</t>
  </si>
  <si>
    <t xml:space="preserve"> Total Ending Subscribers</t>
  </si>
  <si>
    <t>Average Revenue Per User (ARPU)(€)</t>
  </si>
  <si>
    <t>(*) Average Number of Subscribers</t>
  </si>
  <si>
    <t>Total Revenue</t>
  </si>
  <si>
    <t xml:space="preserve"> </t>
  </si>
  <si>
    <t>Formula:</t>
  </si>
  <si>
    <t>Average Revenue per Account (ARPA)* Gross Margin/Churn Rate</t>
  </si>
  <si>
    <t>Customer Lifetime Value (CLV)</t>
  </si>
  <si>
    <t xml:space="preserve">Churn Rate: </t>
  </si>
  <si>
    <t xml:space="preserve"> Has a discount rate.</t>
  </si>
  <si>
    <t>Calculations</t>
  </si>
  <si>
    <t>Monthly Recurring Revenue (MRR) (€)</t>
  </si>
  <si>
    <r>
      <t>(</t>
    </r>
    <r>
      <rPr>
        <sz val="10"/>
        <color theme="1"/>
        <rFont val="Calibri"/>
        <family val="2"/>
      </rPr>
      <t>÷</t>
    </r>
    <r>
      <rPr>
        <sz val="10"/>
        <color theme="1"/>
        <rFont val="Arial"/>
        <family val="2"/>
      </rPr>
      <t>)  Number of paid Subscribers</t>
    </r>
  </si>
  <si>
    <t>Average Revenue Per Account</t>
  </si>
  <si>
    <t>(ARPA)</t>
  </si>
  <si>
    <t>(€)</t>
  </si>
  <si>
    <t>(*)  Gross Margin</t>
  </si>
  <si>
    <t>Gross Contribution Per Customer (€)</t>
  </si>
  <si>
    <r>
      <t>(</t>
    </r>
    <r>
      <rPr>
        <sz val="10"/>
        <color theme="1"/>
        <rFont val="Calibri"/>
        <family val="2"/>
      </rPr>
      <t>÷</t>
    </r>
    <r>
      <rPr>
        <sz val="10"/>
        <color theme="1"/>
        <rFont val="Arial"/>
        <family val="2"/>
      </rPr>
      <t>) MRR Churn Rate</t>
    </r>
  </si>
  <si>
    <t>MRR: Number of Active Account*ARPA (billing of those customers on a monthly basis)</t>
  </si>
  <si>
    <t>ARR: MRR*12 months</t>
  </si>
  <si>
    <t>MRR Calculations</t>
  </si>
  <si>
    <t>Step 1.</t>
  </si>
  <si>
    <t>÷</t>
  </si>
  <si>
    <t>Total Active Accounts</t>
  </si>
  <si>
    <t xml:space="preserve">Step 2. </t>
  </si>
  <si>
    <t>or</t>
  </si>
  <si>
    <t>Average Revenue Per User (ARPU)</t>
  </si>
  <si>
    <t>Total Active Users</t>
  </si>
  <si>
    <t>ARPA (€)</t>
  </si>
  <si>
    <t>MRR(€)</t>
  </si>
  <si>
    <t>Total</t>
  </si>
  <si>
    <t>Active Accounts in a month</t>
  </si>
  <si>
    <t>Annual Contract Monthly Billing</t>
  </si>
  <si>
    <t>Step 3. for the MRR Calculation you ahve to remove the one-time fees.</t>
  </si>
  <si>
    <t>a) Set-up costs</t>
  </si>
  <si>
    <t>b) Consulting fees and others</t>
  </si>
  <si>
    <t>Step 4. Net New MRR</t>
  </si>
  <si>
    <t>New MRR+  New MRR Expansion-Churn rate</t>
  </si>
  <si>
    <t>Montly recurring revenue (MRR)</t>
  </si>
  <si>
    <t>New MRR</t>
  </si>
  <si>
    <t>New MRR Expansión</t>
  </si>
  <si>
    <t xml:space="preserve">Net New MRR: </t>
  </si>
  <si>
    <t xml:space="preserve"> Net Revenue Retention (NRR)</t>
  </si>
  <si>
    <t xml:space="preserve"> In Thousand €</t>
  </si>
  <si>
    <t>Business Case A</t>
  </si>
  <si>
    <t>Business Case B</t>
  </si>
  <si>
    <t>Starting MRR</t>
  </si>
  <si>
    <t>(+) New MRR</t>
  </si>
  <si>
    <t>(+) Expansion MRR</t>
  </si>
  <si>
    <t xml:space="preserve"> Ending MRR</t>
  </si>
  <si>
    <t>Net Revenue Retention (NRR)</t>
  </si>
  <si>
    <t>Gross Revenue Retention</t>
  </si>
  <si>
    <t>In thousand €</t>
  </si>
  <si>
    <t>Month 1</t>
  </si>
  <si>
    <t>Beginning MRR</t>
  </si>
  <si>
    <t>(-) Churned MRR</t>
  </si>
  <si>
    <t>(-) Downgrade MRR</t>
  </si>
  <si>
    <t>Operating Assumptions</t>
  </si>
  <si>
    <t>Number of Churned Customers</t>
  </si>
  <si>
    <t>Number of Customer Downgrades</t>
  </si>
  <si>
    <t>Contraction MRR from Downgrade</t>
  </si>
  <si>
    <t xml:space="preserve"> SaaS Main Fundamentals</t>
  </si>
  <si>
    <t>CAC Payback Period</t>
  </si>
  <si>
    <t>Sales and Marketing Expense</t>
  </si>
  <si>
    <t>Number of New Customers</t>
  </si>
  <si>
    <t>Customer Acquistion Cost (CAC)</t>
  </si>
  <si>
    <t>Average New MRR</t>
  </si>
  <si>
    <t>CAC Payback Period ( Months)</t>
  </si>
  <si>
    <t>Model Assumptions</t>
  </si>
  <si>
    <t>Customer</t>
  </si>
  <si>
    <t>Billing</t>
  </si>
  <si>
    <t>Term</t>
  </si>
  <si>
    <t>Date</t>
  </si>
  <si>
    <t>ACV</t>
  </si>
  <si>
    <t>TCV</t>
  </si>
  <si>
    <t>Customer A</t>
  </si>
  <si>
    <t>Customer B</t>
  </si>
  <si>
    <t>Monthly</t>
  </si>
  <si>
    <t>Annually</t>
  </si>
  <si>
    <t xml:space="preserve">TCV </t>
  </si>
  <si>
    <t>Total Contract Value</t>
  </si>
  <si>
    <t>Annual Contract Value</t>
  </si>
  <si>
    <t>Fiscal year 2022</t>
  </si>
  <si>
    <t>Total Bookings</t>
  </si>
  <si>
    <t>Total Billings</t>
  </si>
  <si>
    <t>Bookings</t>
  </si>
  <si>
    <t>(In €000s)</t>
  </si>
  <si>
    <t>Billings</t>
  </si>
  <si>
    <t>GAAP Revenue</t>
  </si>
  <si>
    <t>Cost Per Lead (CPL)</t>
  </si>
  <si>
    <t>Pay-Per-Click (PPC) Ad Spend</t>
  </si>
  <si>
    <t>Number of Clicks</t>
  </si>
  <si>
    <t>Clicks-to-Lead Conversion Rate</t>
  </si>
  <si>
    <t>Number of Leads Acquired</t>
  </si>
  <si>
    <t>Search Engine Optimization (SEO)</t>
  </si>
  <si>
    <t>SEO Marketing Spend</t>
  </si>
  <si>
    <t>Number of Site Visitors</t>
  </si>
  <si>
    <t>Visitors-to-Lead Conversion Rate</t>
  </si>
  <si>
    <t>SEO Cost Per Lead (CPL)</t>
  </si>
  <si>
    <t>Marketing Ads Campaign</t>
  </si>
  <si>
    <t>Marketing Ads Cost Per Lead (CPL)</t>
  </si>
  <si>
    <t>Committed Monthly Recurring Revenue</t>
  </si>
  <si>
    <t>In € Thousands</t>
  </si>
  <si>
    <t>Total Contract Value (TCV)</t>
  </si>
  <si>
    <t>Contract Term</t>
  </si>
  <si>
    <t>Annual Contract Value (ACV)</t>
  </si>
  <si>
    <t>Average CMRR Per Customer</t>
  </si>
  <si>
    <t>Beginning Customers</t>
  </si>
  <si>
    <t>(+) New Bookings</t>
  </si>
  <si>
    <t>(-) New Renewals</t>
  </si>
  <si>
    <t>Memo: Renewals</t>
  </si>
  <si>
    <t>Ending Customers</t>
  </si>
  <si>
    <t>Beginning CMRR</t>
  </si>
  <si>
    <t>(+) New CMRR</t>
  </si>
  <si>
    <t>(+) Expansion CMRR</t>
  </si>
  <si>
    <t>% Upsell Rate</t>
  </si>
  <si>
    <t>% Churn Rate</t>
  </si>
  <si>
    <t>(-) Churned CMRR</t>
  </si>
  <si>
    <t>Ending CMRR</t>
  </si>
  <si>
    <t xml:space="preserve"> Annual Contract Value</t>
  </si>
  <si>
    <t>Company A</t>
  </si>
  <si>
    <t>Company B</t>
  </si>
  <si>
    <t>Company C</t>
  </si>
  <si>
    <t>Contract Legth Term</t>
  </si>
  <si>
    <t xml:space="preserve">Average Annual Contract Value </t>
  </si>
  <si>
    <t xml:space="preserve"> Total Contract Value (TCV)</t>
  </si>
  <si>
    <t>Monthly Subscription Fee</t>
  </si>
  <si>
    <t>Contract Term Length</t>
  </si>
  <si>
    <t>One-Time Cancellation Fee</t>
  </si>
  <si>
    <t>Average Order Value (AOV)</t>
  </si>
  <si>
    <t>Net Sales</t>
  </si>
  <si>
    <t>Total Number of orders</t>
  </si>
  <si>
    <t>Number of Existing Accounts</t>
  </si>
  <si>
    <t>Number of New Accounts</t>
  </si>
  <si>
    <t>Existing Accounts MRR</t>
  </si>
  <si>
    <t xml:space="preserve">(+) New Accounts MRR </t>
  </si>
  <si>
    <t>Existing Accounts ARPA</t>
  </si>
  <si>
    <t>New Accounts ARPA</t>
  </si>
  <si>
    <t>Total MRR</t>
  </si>
  <si>
    <t>Gross Merchandise Value (GMV)</t>
  </si>
  <si>
    <t>eCommerce Seller</t>
  </si>
  <si>
    <t>Average Selling Price (ASP)</t>
  </si>
  <si>
    <t>Number of Units Sold</t>
  </si>
  <si>
    <t>Gross Merchangise Sold</t>
  </si>
  <si>
    <t>Commision Rate</t>
  </si>
  <si>
    <t>Revenue Split</t>
  </si>
  <si>
    <t>Other ecommerce seller</t>
  </si>
  <si>
    <t>Revenue Churn</t>
  </si>
  <si>
    <t>In Thousand 000s</t>
  </si>
  <si>
    <t xml:space="preserve"> Month 1</t>
  </si>
  <si>
    <t>(-) Churn MRR</t>
  </si>
  <si>
    <t>%Upsell Rate</t>
  </si>
  <si>
    <t>Total Revenue Churn</t>
  </si>
  <si>
    <t>Lost MRR</t>
  </si>
  <si>
    <t>Annual MRR</t>
  </si>
  <si>
    <t>Expansion MRR</t>
  </si>
  <si>
    <t>Attrition Rate</t>
  </si>
  <si>
    <t>Number of Churned Employees/Total Number of Employees</t>
  </si>
  <si>
    <t>Impacts the EBITDA and The Profit margin: Rotation issues of a company</t>
  </si>
  <si>
    <t>($ in thousands)</t>
  </si>
  <si>
    <t>Beginning Number of Employees</t>
  </si>
  <si>
    <t>Ending Number of Employees</t>
  </si>
  <si>
    <t>Quarterly Turnover (% of Beginning)</t>
  </si>
  <si>
    <t>Quarterly New Hiring (% of Beginning)</t>
  </si>
  <si>
    <t>Churned Employees</t>
  </si>
  <si>
    <t>Average Number of Employees</t>
  </si>
  <si>
    <t>Q1 22</t>
  </si>
  <si>
    <t>Q2  22</t>
  </si>
  <si>
    <t>Q3 22</t>
  </si>
  <si>
    <t>Q4 22</t>
  </si>
  <si>
    <t>(-) Churned Employees</t>
  </si>
  <si>
    <t>(+) New Hires</t>
  </si>
  <si>
    <t>Retention Rate</t>
  </si>
  <si>
    <t>(+) New Customers Acquired</t>
  </si>
  <si>
    <t>(-) Churned Customers</t>
  </si>
  <si>
    <t>Customer Retention Rate</t>
  </si>
  <si>
    <t>Net Negative Churn</t>
  </si>
  <si>
    <t>Q1</t>
  </si>
  <si>
    <t>Q2</t>
  </si>
  <si>
    <t>Q3</t>
  </si>
  <si>
    <t>Q4</t>
  </si>
  <si>
    <t>MRR BoP (MRR Beginning of the Period)</t>
  </si>
  <si>
    <t>MRREoP</t>
  </si>
  <si>
    <t>Renewal Rate</t>
  </si>
  <si>
    <t>New Customers (% of Beginning)</t>
  </si>
  <si>
    <t>Churn Rate (% of Beginning)</t>
  </si>
  <si>
    <t>Number of Customer Renewals</t>
  </si>
  <si>
    <t>Total Number of Customers Up for Renewal</t>
  </si>
  <si>
    <t>(+): New Customers</t>
  </si>
  <si>
    <t>(-): Churned Customers</t>
  </si>
  <si>
    <t>Customer Lifetime Value</t>
  </si>
  <si>
    <t>Net Revenue Retention</t>
  </si>
  <si>
    <t>CAC Payback</t>
  </si>
  <si>
    <t>Booking &amp;Billings</t>
  </si>
  <si>
    <t>Recurring Revenues KPI´s</t>
  </si>
  <si>
    <t>ARR &amp; Run Rate</t>
  </si>
  <si>
    <t>CMRR</t>
  </si>
  <si>
    <t>Customer Order Metrics</t>
  </si>
  <si>
    <t xml:space="preserve">Gross Merchandise Value </t>
  </si>
  <si>
    <t>SaaS Benchmarks</t>
  </si>
  <si>
    <t>Sales and Marketing Spend (S&amp;M)</t>
  </si>
  <si>
    <t>SaaS Magic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</si>
</sst>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3" formatCode="_-* #,##0.00_-;\-* #,##0.00_-;_-* &quot;-&quot;??_-;_-@_-"/>
    <numFmt numFmtId="164" formatCode="#,##0\ &quot;€&quot;;[Red]\-#,##0\ &quot;€&quot;"/>
    <numFmt numFmtId="165" formatCode="_-* #,##0.0_-;\-* #,##0.0_-;_-* &quot;-&quot;??_-;_-@_-"/>
    <numFmt numFmtId="166" formatCode="_-* #,##0_-;\-* #,##0_-;_-* &quot;-&quot;??_-;_-@_-"/>
    <numFmt numFmtId="167" formatCode="#,##0_);\(#,##0\);\-\-_);@_)"/>
    <numFmt numFmtId="168" formatCode="#,##0_);\(#,##0\)_);&quot;--&quot;_)"/>
    <numFmt numFmtId="169" formatCode="#,##0.0_);\(#,##0.0\)_);&quot;--&quot;_)"/>
    <numFmt numFmtId="170" formatCode="_-* #,##0.00\ [$€-C0A]_-;\-* #,##0.00\ [$€-C0A]_-;_-* &quot;-&quot;??\ [$€-C0A]_-;_-@_-"/>
    <numFmt numFmtId="171" formatCode="_-* #,##0.0\ [$€-C0A]_-;\-* #,##0.0\ [$€-C0A]_-;_-* &quot;-&quot;??\ [$€-C0A]_-;_-@_-"/>
    <numFmt numFmtId="172" formatCode="_-* #,##0\ [$€-C0A]_-;\-* #,##0\ [$€-C0A]_-;_-* &quot;-&quot;??\ [$€-C0A]_-;_-@_-"/>
    <numFmt numFmtId="173" formatCode="0.0\x"/>
    <numFmt numFmtId="174" formatCode="_(&quot;$&quot;* #,##0.00_);_(&quot;$&quot;* \(#,##0.00\);_(&quot;$&quot;* &quot;-&quot;??_);_(@_)"/>
    <numFmt numFmtId="175" formatCode="_-[$€-2]\ * #,##0.00_-;\-[$€-2]\ * #,##0.00_-;_-[$€-2]\ * &quot;-&quot;??_-;_-@_-"/>
    <numFmt numFmtId="176" formatCode="_-[$€-2]\ * #,##0_-;\-[$€-2]\ * #,##0_-;_-[$€-2]\ * &quot;-&quot;??_-;_-@_-"/>
    <numFmt numFmtId="177" formatCode="[$-C0A]mmm\-yy;@"/>
    <numFmt numFmtId="178" formatCode="#,##0;\(\-#,##0\)"/>
    <numFmt numFmtId="179" formatCode="#,##0;\(\-#,##0&quot;€&quot;\)"/>
    <numFmt numFmtId="180" formatCode="#,##0_);\(#,##0\);&quot;--&quot;_);@_)"/>
    <numFmt numFmtId="181" formatCode="[$€-2]\ #,##0;[Red]\-[$€-2]\ #,##0"/>
    <numFmt numFmtId="182" formatCode="#,##0\ &quot;€&quot;"/>
    <numFmt numFmtId="183" formatCode="0.0"/>
    <numFmt numFmtId="184" formatCode="#,##0.00\ &quot;€&quot;"/>
    <numFmt numFmtId="185" formatCode="0\ &quot;years&quot;"/>
    <numFmt numFmtId="186" formatCode="#,##0_);\(#,##0\);\–_);@_)"/>
    <numFmt numFmtId="187" formatCode="0.000"/>
    <numFmt numFmtId="188" formatCode="0\ &quot;months&quot;"/>
    <numFmt numFmtId="189" formatCode="[$-C0A]mmmm\-yy;@"/>
    <numFmt numFmtId="190" formatCode="_-* #,##0\ &quot;€&quot;_-;\-* #,##0\ &quot;€&quot;_-;_-* &quot;-&quot;??\ &quot;€&quot;_-;_-@_-"/>
    <numFmt numFmtId="191" formatCode="#,##0.0;\(\-#,##0.0\)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8" tint="-0.249977111117893"/>
      <name val="Arial"/>
      <family val="2"/>
    </font>
    <font>
      <b/>
      <sz val="10"/>
      <color theme="1"/>
      <name val="Arial"/>
      <family val="2"/>
    </font>
    <font>
      <b/>
      <sz val="10"/>
      <color theme="8" tint="-0.249977111117893"/>
      <name val="Arial"/>
      <family val="2"/>
    </font>
    <font>
      <b/>
      <i/>
      <sz val="8"/>
      <color theme="8" tint="-0.249977111117893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rgb="FF9C0006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57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i/>
      <sz val="10"/>
      <color rgb="FF7F7F7F"/>
      <name val="Arial"/>
      <family val="2"/>
    </font>
    <font>
      <b/>
      <sz val="10"/>
      <color rgb="FFFA7D00"/>
      <name val="Perpetua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66FF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sz val="8"/>
      <color theme="1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sz val="11"/>
      <color theme="3"/>
      <name val="Arial"/>
      <family val="2"/>
    </font>
    <font>
      <sz val="10"/>
      <color rgb="FF0070C0"/>
      <name val="Arial"/>
      <family val="2"/>
    </font>
    <font>
      <b/>
      <sz val="11"/>
      <color theme="3"/>
      <name val="Arial"/>
      <family val="2"/>
    </font>
    <font>
      <sz val="11"/>
      <color rgb="FF0070C0"/>
      <name val="Arial"/>
      <family val="2"/>
    </font>
    <font>
      <sz val="10"/>
      <color theme="4" tint="-0.249977111117893"/>
      <name val="Arial"/>
      <family val="2"/>
    </font>
    <font>
      <sz val="14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i/>
      <sz val="8"/>
      <color theme="1"/>
      <name val="Arial"/>
      <family val="2"/>
    </font>
    <font>
      <sz val="10"/>
      <color theme="1"/>
      <name val="Calibri"/>
      <family val="2"/>
    </font>
    <font>
      <sz val="10"/>
      <name val="Arial"/>
      <family val="2"/>
    </font>
    <font>
      <sz val="11"/>
      <color theme="3" tint="-0.249977111117893"/>
      <name val="Arial"/>
      <family val="2"/>
    </font>
    <font>
      <b/>
      <sz val="11"/>
      <color theme="3" tint="-0.249977111117893"/>
      <name val="Arial"/>
      <family val="2"/>
    </font>
    <font>
      <sz val="9"/>
      <color theme="3"/>
      <name val="Arial"/>
      <family val="2"/>
    </font>
    <font>
      <sz val="14"/>
      <color theme="0"/>
      <name val="Arial"/>
      <family val="2"/>
    </font>
    <font>
      <sz val="10"/>
      <color theme="3" tint="-0.249977111117893"/>
      <name val="Arial"/>
      <family val="2"/>
    </font>
    <font>
      <sz val="9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b/>
      <sz val="9"/>
      <color theme="3" tint="-0.249977111117893"/>
      <name val="Arial"/>
      <family val="2"/>
    </font>
    <font>
      <sz val="9"/>
      <color rgb="FF0066FF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"/>
      <name val="Arial"/>
      <family val="2"/>
    </font>
    <font>
      <b/>
      <sz val="9"/>
      <name val="Arial"/>
      <family val="2"/>
    </font>
    <font>
      <b/>
      <sz val="10"/>
      <color rgb="FF0066FF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u/>
      <sz val="11"/>
      <color theme="0"/>
      <name val="Calibri"/>
      <family val="2"/>
      <scheme val="minor"/>
    </font>
    <font>
      <u/>
      <sz val="11"/>
      <color theme="0"/>
      <name val="Arial"/>
      <family val="2"/>
    </font>
    <font>
      <sz val="10"/>
      <color theme="0"/>
      <name val="Arial"/>
      <family val="2"/>
    </font>
    <font>
      <u/>
      <sz val="9"/>
      <color theme="0"/>
      <name val="Arial"/>
      <family val="2"/>
    </font>
    <font>
      <sz val="9"/>
      <color theme="0"/>
      <name val="Arial"/>
      <family val="2"/>
    </font>
    <font>
      <u/>
      <sz val="10"/>
      <color theme="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8" fillId="10" borderId="6" applyNumberFormat="0" applyAlignment="0" applyProtection="0"/>
    <xf numFmtId="0" fontId="10" fillId="4" borderId="0" applyNumberFormat="0" applyBorder="0" applyAlignment="0" applyProtection="0"/>
    <xf numFmtId="0" fontId="9" fillId="5" borderId="0" applyNumberFormat="0" applyBorder="0" applyAlignment="0" applyProtection="0"/>
    <xf numFmtId="0" fontId="11" fillId="6" borderId="0" applyNumberFormat="0" applyBorder="0" applyAlignment="0" applyProtection="0"/>
    <xf numFmtId="0" fontId="13" fillId="7" borderId="3" applyNumberFormat="0" applyAlignment="0" applyProtection="0"/>
    <xf numFmtId="0" fontId="16" fillId="8" borderId="3" applyNumberFormat="0" applyAlignment="0" applyProtection="0"/>
    <xf numFmtId="0" fontId="14" fillId="0" borderId="4" applyNumberFormat="0" applyFill="0" applyAlignment="0" applyProtection="0"/>
    <xf numFmtId="0" fontId="12" fillId="9" borderId="5" applyNumberFormat="0" applyAlignment="0" applyProtection="0"/>
    <xf numFmtId="0" fontId="15" fillId="0" borderId="0" applyNumberFormat="0" applyFill="0" applyBorder="0" applyAlignment="0" applyProtection="0"/>
    <xf numFmtId="174" fontId="1" fillId="0" borderId="0" applyFont="0" applyFill="0" applyBorder="0" applyAlignment="0" applyProtection="0"/>
    <xf numFmtId="0" fontId="22" fillId="0" borderId="0"/>
    <xf numFmtId="0" fontId="49" fillId="0" borderId="0" applyNumberFormat="0" applyFill="0" applyBorder="0" applyAlignment="0" applyProtection="0"/>
  </cellStyleXfs>
  <cellXfs count="34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vertical="center"/>
    </xf>
    <xf numFmtId="0" fontId="4" fillId="2" borderId="0" xfId="0" applyFont="1" applyFill="1"/>
    <xf numFmtId="0" fontId="4" fillId="3" borderId="1" xfId="0" applyFont="1" applyFill="1" applyBorder="1"/>
    <xf numFmtId="166" fontId="3" fillId="2" borderId="0" xfId="1" applyNumberFormat="1" applyFont="1" applyFill="1" applyAlignment="1">
      <alignment horizontal="center"/>
    </xf>
    <xf numFmtId="0" fontId="4" fillId="3" borderId="0" xfId="0" applyFont="1" applyFill="1"/>
    <xf numFmtId="166" fontId="2" fillId="2" borderId="0" xfId="0" applyNumberFormat="1" applyFont="1" applyFill="1"/>
    <xf numFmtId="9" fontId="2" fillId="2" borderId="0" xfId="2" applyFont="1" applyFill="1"/>
    <xf numFmtId="0" fontId="7" fillId="2" borderId="0" xfId="0" applyFont="1" applyFill="1"/>
    <xf numFmtId="0" fontId="7" fillId="2" borderId="1" xfId="0" applyFont="1" applyFill="1" applyBorder="1"/>
    <xf numFmtId="0" fontId="18" fillId="2" borderId="9" xfId="0" applyFont="1" applyFill="1" applyBorder="1"/>
    <xf numFmtId="0" fontId="18" fillId="2" borderId="0" xfId="0" applyFont="1" applyFill="1"/>
    <xf numFmtId="0" fontId="7" fillId="2" borderId="9" xfId="0" applyFont="1" applyFill="1" applyBorder="1"/>
    <xf numFmtId="0" fontId="18" fillId="11" borderId="9" xfId="0" applyFont="1" applyFill="1" applyBorder="1"/>
    <xf numFmtId="0" fontId="18" fillId="11" borderId="0" xfId="0" applyFont="1" applyFill="1"/>
    <xf numFmtId="168" fontId="8" fillId="2" borderId="0" xfId="3" applyNumberFormat="1" applyFill="1"/>
    <xf numFmtId="0" fontId="8" fillId="2" borderId="0" xfId="3" applyFill="1"/>
    <xf numFmtId="168" fontId="8" fillId="2" borderId="0" xfId="3" applyNumberFormat="1" applyFill="1" applyAlignment="1">
      <alignment horizontal="left"/>
    </xf>
    <xf numFmtId="168" fontId="17" fillId="2" borderId="0" xfId="3" applyNumberFormat="1" applyFont="1" applyFill="1" applyAlignment="1">
      <alignment horizontal="left"/>
    </xf>
    <xf numFmtId="167" fontId="17" fillId="2" borderId="0" xfId="3" applyNumberFormat="1" applyFont="1" applyFill="1"/>
    <xf numFmtId="168" fontId="17" fillId="2" borderId="0" xfId="3" applyNumberFormat="1" applyFont="1" applyFill="1"/>
    <xf numFmtId="169" fontId="8" fillId="2" borderId="0" xfId="3" applyNumberFormat="1" applyFill="1" applyAlignment="1">
      <alignment horizontal="left"/>
    </xf>
    <xf numFmtId="166" fontId="19" fillId="2" borderId="0" xfId="1" applyNumberFormat="1" applyFont="1" applyFill="1" applyBorder="1"/>
    <xf numFmtId="166" fontId="19" fillId="2" borderId="1" xfId="1" applyNumberFormat="1" applyFont="1" applyFill="1" applyBorder="1"/>
    <xf numFmtId="9" fontId="19" fillId="2" borderId="1" xfId="0" applyNumberFormat="1" applyFont="1" applyFill="1" applyBorder="1"/>
    <xf numFmtId="171" fontId="18" fillId="2" borderId="0" xfId="0" applyNumberFormat="1" applyFont="1" applyFill="1"/>
    <xf numFmtId="172" fontId="19" fillId="2" borderId="0" xfId="1" applyNumberFormat="1" applyFont="1" applyFill="1" applyBorder="1"/>
    <xf numFmtId="172" fontId="19" fillId="2" borderId="1" xfId="1" applyNumberFormat="1" applyFont="1" applyFill="1" applyBorder="1"/>
    <xf numFmtId="172" fontId="7" fillId="2" borderId="9" xfId="0" applyNumberFormat="1" applyFont="1" applyFill="1" applyBorder="1"/>
    <xf numFmtId="172" fontId="19" fillId="2" borderId="1" xfId="0" applyNumberFormat="1" applyFont="1" applyFill="1" applyBorder="1"/>
    <xf numFmtId="172" fontId="18" fillId="11" borderId="9" xfId="0" applyNumberFormat="1" applyFont="1" applyFill="1" applyBorder="1"/>
    <xf numFmtId="172" fontId="18" fillId="11" borderId="0" xfId="1" applyNumberFormat="1" applyFont="1" applyFill="1"/>
    <xf numFmtId="172" fontId="7" fillId="2" borderId="0" xfId="0" applyNumberFormat="1" applyFont="1" applyFill="1"/>
    <xf numFmtId="172" fontId="18" fillId="2" borderId="0" xfId="0" applyNumberFormat="1" applyFont="1" applyFill="1"/>
    <xf numFmtId="0" fontId="18" fillId="3" borderId="8" xfId="0" applyFont="1" applyFill="1" applyBorder="1"/>
    <xf numFmtId="0" fontId="18" fillId="3" borderId="2" xfId="0" applyFont="1" applyFill="1" applyBorder="1"/>
    <xf numFmtId="173" fontId="18" fillId="3" borderId="7" xfId="0" applyNumberFormat="1" applyFont="1" applyFill="1" applyBorder="1"/>
    <xf numFmtId="0" fontId="18" fillId="3" borderId="0" xfId="0" applyFont="1" applyFill="1"/>
    <xf numFmtId="0" fontId="18" fillId="3" borderId="7" xfId="0" applyFont="1" applyFill="1" applyBorder="1"/>
    <xf numFmtId="0" fontId="7" fillId="2" borderId="11" xfId="0" applyFont="1" applyFill="1" applyBorder="1"/>
    <xf numFmtId="172" fontId="18" fillId="2" borderId="9" xfId="0" applyNumberFormat="1" applyFont="1" applyFill="1" applyBorder="1"/>
    <xf numFmtId="9" fontId="19" fillId="2" borderId="1" xfId="2" applyFont="1" applyFill="1" applyBorder="1"/>
    <xf numFmtId="9" fontId="19" fillId="2" borderId="0" xfId="0" applyNumberFormat="1" applyFont="1" applyFill="1"/>
    <xf numFmtId="9" fontId="7" fillId="2" borderId="0" xfId="2" applyFont="1" applyFill="1" applyBorder="1"/>
    <xf numFmtId="173" fontId="18" fillId="2" borderId="1" xfId="0" applyNumberFormat="1" applyFont="1" applyFill="1" applyBorder="1"/>
    <xf numFmtId="172" fontId="18" fillId="11" borderId="0" xfId="0" applyNumberFormat="1" applyFont="1" applyFill="1"/>
    <xf numFmtId="172" fontId="20" fillId="2" borderId="0" xfId="1" applyNumberFormat="1" applyFont="1" applyFill="1"/>
    <xf numFmtId="165" fontId="7" fillId="2" borderId="0" xfId="1" applyNumberFormat="1" applyFont="1" applyFill="1" applyBorder="1"/>
    <xf numFmtId="170" fontId="19" fillId="2" borderId="1" xfId="0" applyNumberFormat="1" applyFont="1" applyFill="1" applyBorder="1"/>
    <xf numFmtId="166" fontId="18" fillId="2" borderId="0" xfId="0" applyNumberFormat="1" applyFont="1" applyFill="1"/>
    <xf numFmtId="9" fontId="19" fillId="2" borderId="0" xfId="2" applyFont="1" applyFill="1" applyBorder="1"/>
    <xf numFmtId="9" fontId="19" fillId="2" borderId="11" xfId="2" applyFont="1" applyFill="1" applyBorder="1"/>
    <xf numFmtId="165" fontId="7" fillId="2" borderId="1" xfId="1" applyNumberFormat="1" applyFont="1" applyFill="1" applyBorder="1"/>
    <xf numFmtId="165" fontId="18" fillId="2" borderId="0" xfId="0" applyNumberFormat="1" applyFont="1" applyFill="1"/>
    <xf numFmtId="0" fontId="18" fillId="11" borderId="8" xfId="0" applyFont="1" applyFill="1" applyBorder="1"/>
    <xf numFmtId="0" fontId="18" fillId="11" borderId="2" xfId="0" applyFont="1" applyFill="1" applyBorder="1"/>
    <xf numFmtId="173" fontId="18" fillId="11" borderId="7" xfId="0" applyNumberFormat="1" applyFont="1" applyFill="1" applyBorder="1"/>
    <xf numFmtId="175" fontId="21" fillId="2" borderId="0" xfId="1" applyNumberFormat="1" applyFont="1" applyFill="1" applyBorder="1"/>
    <xf numFmtId="175" fontId="4" fillId="2" borderId="0" xfId="0" applyNumberFormat="1" applyFont="1" applyFill="1"/>
    <xf numFmtId="173" fontId="21" fillId="2" borderId="1" xfId="0" applyNumberFormat="1" applyFont="1" applyFill="1" applyBorder="1" applyAlignment="1">
      <alignment horizontal="right"/>
    </xf>
    <xf numFmtId="10" fontId="21" fillId="2" borderId="10" xfId="0" applyNumberFormat="1" applyFont="1" applyFill="1" applyBorder="1"/>
    <xf numFmtId="166" fontId="21" fillId="2" borderId="0" xfId="1" applyNumberFormat="1" applyFont="1" applyFill="1" applyAlignment="1">
      <alignment horizontal="right"/>
    </xf>
    <xf numFmtId="166" fontId="2" fillId="2" borderId="0" xfId="1" applyNumberFormat="1" applyFont="1" applyFill="1" applyAlignment="1">
      <alignment horizontal="right"/>
    </xf>
    <xf numFmtId="166" fontId="2" fillId="2" borderId="1" xfId="1" applyNumberFormat="1" applyFont="1" applyFill="1" applyBorder="1" applyAlignment="1">
      <alignment horizontal="right"/>
    </xf>
    <xf numFmtId="166" fontId="21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Border="1" applyAlignment="1">
      <alignment horizontal="right"/>
    </xf>
    <xf numFmtId="166" fontId="4" fillId="2" borderId="0" xfId="1" applyNumberFormat="1" applyFont="1" applyFill="1" applyAlignment="1">
      <alignment horizontal="right"/>
    </xf>
    <xf numFmtId="167" fontId="2" fillId="2" borderId="0" xfId="1" applyNumberFormat="1" applyFont="1" applyFill="1" applyAlignment="1">
      <alignment horizontal="right"/>
    </xf>
    <xf numFmtId="0" fontId="4" fillId="13" borderId="0" xfId="0" applyFont="1" applyFill="1"/>
    <xf numFmtId="0" fontId="2" fillId="2" borderId="10" xfId="0" applyFont="1" applyFill="1" applyBorder="1"/>
    <xf numFmtId="166" fontId="21" fillId="2" borderId="0" xfId="1" applyNumberFormat="1" applyFont="1" applyFill="1" applyBorder="1"/>
    <xf numFmtId="166" fontId="2" fillId="2" borderId="0" xfId="1" applyNumberFormat="1" applyFont="1" applyFill="1" applyBorder="1"/>
    <xf numFmtId="166" fontId="2" fillId="2" borderId="1" xfId="1" applyNumberFormat="1" applyFont="1" applyFill="1" applyBorder="1"/>
    <xf numFmtId="168" fontId="2" fillId="2" borderId="0" xfId="1" applyNumberFormat="1" applyFont="1" applyFill="1" applyBorder="1"/>
    <xf numFmtId="166" fontId="4" fillId="2" borderId="0" xfId="0" applyNumberFormat="1" applyFont="1" applyFill="1"/>
    <xf numFmtId="176" fontId="21" fillId="2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0" fontId="23" fillId="11" borderId="0" xfId="0" applyFont="1" applyFill="1"/>
    <xf numFmtId="0" fontId="24" fillId="11" borderId="0" xfId="0" applyFont="1" applyFill="1"/>
    <xf numFmtId="0" fontId="24" fillId="2" borderId="0" xfId="0" applyFont="1" applyFill="1"/>
    <xf numFmtId="0" fontId="25" fillId="2" borderId="0" xfId="0" applyFont="1" applyFill="1"/>
    <xf numFmtId="0" fontId="2" fillId="2" borderId="0" xfId="0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left"/>
    </xf>
    <xf numFmtId="0" fontId="2" fillId="2" borderId="0" xfId="1" applyNumberFormat="1" applyFont="1" applyFill="1" applyBorder="1" applyAlignment="1">
      <alignment horizontal="left"/>
    </xf>
    <xf numFmtId="0" fontId="26" fillId="2" borderId="0" xfId="0" applyFont="1" applyFill="1"/>
    <xf numFmtId="0" fontId="2" fillId="2" borderId="0" xfId="0" applyFont="1" applyFill="1" applyAlignment="1">
      <alignment horizontal="left"/>
    </xf>
    <xf numFmtId="0" fontId="23" fillId="2" borderId="0" xfId="0" applyFont="1" applyFill="1"/>
    <xf numFmtId="0" fontId="27" fillId="2" borderId="0" xfId="0" applyFont="1" applyFill="1"/>
    <xf numFmtId="177" fontId="2" fillId="2" borderId="1" xfId="0" applyNumberFormat="1" applyFont="1" applyFill="1" applyBorder="1" applyAlignment="1">
      <alignment horizontal="left"/>
    </xf>
    <xf numFmtId="43" fontId="28" fillId="2" borderId="0" xfId="1" applyFont="1" applyFill="1"/>
    <xf numFmtId="166" fontId="24" fillId="2" borderId="0" xfId="1" applyNumberFormat="1" applyFont="1" applyFill="1"/>
    <xf numFmtId="0" fontId="2" fillId="2" borderId="1" xfId="0" applyFont="1" applyFill="1" applyBorder="1" applyAlignment="1">
      <alignment horizontal="center"/>
    </xf>
    <xf numFmtId="0" fontId="4" fillId="11" borderId="0" xfId="0" applyFont="1" applyFill="1"/>
    <xf numFmtId="166" fontId="2" fillId="2" borderId="0" xfId="1" applyNumberFormat="1" applyFont="1" applyFill="1"/>
    <xf numFmtId="9" fontId="27" fillId="12" borderId="0" xfId="0" applyNumberFormat="1" applyFont="1" applyFill="1" applyAlignment="1">
      <alignment horizontal="right"/>
    </xf>
    <xf numFmtId="173" fontId="7" fillId="2" borderId="0" xfId="0" applyNumberFormat="1" applyFont="1" applyFill="1"/>
    <xf numFmtId="166" fontId="27" fillId="12" borderId="0" xfId="1" applyNumberFormat="1" applyFont="1" applyFill="1" applyAlignment="1">
      <alignment horizontal="right"/>
    </xf>
    <xf numFmtId="166" fontId="4" fillId="2" borderId="0" xfId="1" applyNumberFormat="1" applyFont="1" applyFill="1"/>
    <xf numFmtId="0" fontId="31" fillId="2" borderId="0" xfId="0" applyFont="1" applyFill="1"/>
    <xf numFmtId="0" fontId="31" fillId="2" borderId="1" xfId="0" applyFont="1" applyFill="1" applyBorder="1"/>
    <xf numFmtId="0" fontId="32" fillId="2" borderId="1" xfId="0" applyFont="1" applyFill="1" applyBorder="1"/>
    <xf numFmtId="0" fontId="34" fillId="2" borderId="1" xfId="0" applyFont="1" applyFill="1" applyBorder="1" applyAlignment="1">
      <alignment horizontal="center"/>
    </xf>
    <xf numFmtId="166" fontId="29" fillId="2" borderId="0" xfId="1" applyNumberFormat="1" applyFont="1" applyFill="1"/>
    <xf numFmtId="0" fontId="4" fillId="14" borderId="0" xfId="0" applyFont="1" applyFill="1"/>
    <xf numFmtId="166" fontId="4" fillId="14" borderId="0" xfId="1" applyNumberFormat="1" applyFont="1" applyFill="1"/>
    <xf numFmtId="9" fontId="35" fillId="12" borderId="10" xfId="0" applyNumberFormat="1" applyFont="1" applyFill="1" applyBorder="1"/>
    <xf numFmtId="0" fontId="2" fillId="11" borderId="0" xfId="0" applyFont="1" applyFill="1"/>
    <xf numFmtId="166" fontId="4" fillId="11" borderId="0" xfId="1" applyNumberFormat="1" applyFont="1" applyFill="1"/>
    <xf numFmtId="0" fontId="36" fillId="2" borderId="1" xfId="0" applyFont="1" applyFill="1" applyBorder="1"/>
    <xf numFmtId="0" fontId="21" fillId="2" borderId="0" xfId="0" applyFont="1" applyFill="1"/>
    <xf numFmtId="0" fontId="21" fillId="2" borderId="1" xfId="0" applyFont="1" applyFill="1" applyBorder="1"/>
    <xf numFmtId="0" fontId="4" fillId="11" borderId="9" xfId="0" applyFont="1" applyFill="1" applyBorder="1"/>
    <xf numFmtId="166" fontId="4" fillId="11" borderId="9" xfId="1" applyNumberFormat="1" applyFont="1" applyFill="1" applyBorder="1"/>
    <xf numFmtId="9" fontId="21" fillId="2" borderId="1" xfId="0" applyNumberFormat="1" applyFont="1" applyFill="1" applyBorder="1"/>
    <xf numFmtId="166" fontId="4" fillId="11" borderId="9" xfId="0" applyNumberFormat="1" applyFont="1" applyFill="1" applyBorder="1"/>
    <xf numFmtId="0" fontId="4" fillId="12" borderId="0" xfId="0" applyFont="1" applyFill="1"/>
    <xf numFmtId="166" fontId="4" fillId="12" borderId="0" xfId="1" applyNumberFormat="1" applyFont="1" applyFill="1"/>
    <xf numFmtId="0" fontId="37" fillId="2" borderId="0" xfId="0" applyFont="1" applyFill="1" applyAlignment="1">
      <alignment horizontal="center"/>
    </xf>
    <xf numFmtId="43" fontId="21" fillId="2" borderId="0" xfId="1" applyFont="1" applyFill="1"/>
    <xf numFmtId="166" fontId="21" fillId="2" borderId="0" xfId="1" applyNumberFormat="1" applyFont="1" applyFill="1"/>
    <xf numFmtId="0" fontId="2" fillId="2" borderId="2" xfId="0" applyFont="1" applyFill="1" applyBorder="1"/>
    <xf numFmtId="0" fontId="4" fillId="11" borderId="2" xfId="0" applyFont="1" applyFill="1" applyBorder="1"/>
    <xf numFmtId="166" fontId="4" fillId="11" borderId="2" xfId="1" applyNumberFormat="1" applyFont="1" applyFill="1" applyBorder="1"/>
    <xf numFmtId="166" fontId="38" fillId="2" borderId="0" xfId="0" applyNumberFormat="1" applyFont="1" applyFill="1"/>
    <xf numFmtId="0" fontId="2" fillId="11" borderId="8" xfId="0" applyFont="1" applyFill="1" applyBorder="1"/>
    <xf numFmtId="166" fontId="2" fillId="11" borderId="7" xfId="1" applyNumberFormat="1" applyFont="1" applyFill="1" applyBorder="1"/>
    <xf numFmtId="43" fontId="7" fillId="2" borderId="0" xfId="1" applyFont="1" applyFill="1" applyBorder="1"/>
    <xf numFmtId="178" fontId="19" fillId="2" borderId="1" xfId="1" applyNumberFormat="1" applyFont="1" applyFill="1" applyBorder="1"/>
    <xf numFmtId="178" fontId="7" fillId="2" borderId="1" xfId="1" applyNumberFormat="1" applyFont="1" applyFill="1" applyBorder="1"/>
    <xf numFmtId="166" fontId="7" fillId="2" borderId="0" xfId="1" applyNumberFormat="1" applyFont="1" applyFill="1" applyBorder="1"/>
    <xf numFmtId="166" fontId="18" fillId="11" borderId="0" xfId="0" applyNumberFormat="1" applyFont="1" applyFill="1"/>
    <xf numFmtId="0" fontId="27" fillId="11" borderId="0" xfId="0" applyFont="1" applyFill="1"/>
    <xf numFmtId="9" fontId="27" fillId="11" borderId="0" xfId="2" applyFont="1" applyFill="1"/>
    <xf numFmtId="0" fontId="40" fillId="2" borderId="12" xfId="0" applyFont="1" applyFill="1" applyBorder="1"/>
    <xf numFmtId="0" fontId="40" fillId="2" borderId="12" xfId="0" applyFont="1" applyFill="1" applyBorder="1" applyAlignment="1">
      <alignment horizontal="center"/>
    </xf>
    <xf numFmtId="0" fontId="18" fillId="2" borderId="12" xfId="0" applyFont="1" applyFill="1" applyBorder="1"/>
    <xf numFmtId="0" fontId="31" fillId="2" borderId="2" xfId="0" applyFont="1" applyFill="1" applyBorder="1"/>
    <xf numFmtId="0" fontId="7" fillId="2" borderId="2" xfId="0" applyFont="1" applyFill="1" applyBorder="1"/>
    <xf numFmtId="0" fontId="32" fillId="2" borderId="2" xfId="0" applyFont="1" applyFill="1" applyBorder="1"/>
    <xf numFmtId="0" fontId="7" fillId="11" borderId="1" xfId="0" applyFont="1" applyFill="1" applyBorder="1"/>
    <xf numFmtId="167" fontId="7" fillId="2" borderId="0" xfId="0" applyNumberFormat="1" applyFont="1" applyFill="1"/>
    <xf numFmtId="0" fontId="19" fillId="2" borderId="0" xfId="0" applyFont="1" applyFill="1"/>
    <xf numFmtId="164" fontId="19" fillId="2" borderId="0" xfId="0" applyNumberFormat="1" applyFont="1" applyFill="1"/>
    <xf numFmtId="179" fontId="19" fillId="2" borderId="0" xfId="0" applyNumberFormat="1" applyFont="1" applyFill="1"/>
    <xf numFmtId="178" fontId="7" fillId="2" borderId="0" xfId="0" applyNumberFormat="1" applyFont="1" applyFill="1"/>
    <xf numFmtId="9" fontId="18" fillId="3" borderId="2" xfId="2" applyFont="1" applyFill="1" applyBorder="1"/>
    <xf numFmtId="0" fontId="0" fillId="15" borderId="0" xfId="0" applyFill="1"/>
    <xf numFmtId="49" fontId="7" fillId="2" borderId="0" xfId="0" applyNumberFormat="1" applyFont="1" applyFill="1" applyAlignment="1">
      <alignment vertical="center"/>
    </xf>
    <xf numFmtId="180" fontId="7" fillId="2" borderId="0" xfId="0" applyNumberFormat="1" applyFont="1" applyFill="1" applyAlignment="1">
      <alignment vertical="center"/>
    </xf>
    <xf numFmtId="180" fontId="7" fillId="2" borderId="0" xfId="0" quotePrefix="1" applyNumberFormat="1" applyFont="1" applyFill="1" applyAlignment="1">
      <alignment vertical="center"/>
    </xf>
    <xf numFmtId="49" fontId="32" fillId="2" borderId="0" xfId="0" quotePrefix="1" applyNumberFormat="1" applyFont="1" applyFill="1" applyAlignment="1">
      <alignment vertical="center"/>
    </xf>
    <xf numFmtId="167" fontId="4" fillId="2" borderId="1" xfId="0" applyNumberFormat="1" applyFont="1" applyFill="1" applyBorder="1" applyAlignment="1">
      <alignment vertical="center"/>
    </xf>
    <xf numFmtId="49" fontId="44" fillId="11" borderId="8" xfId="0" quotePrefix="1" applyNumberFormat="1" applyFont="1" applyFill="1" applyBorder="1" applyAlignment="1">
      <alignment vertical="center"/>
    </xf>
    <xf numFmtId="180" fontId="39" fillId="11" borderId="2" xfId="0" quotePrefix="1" applyNumberFormat="1" applyFont="1" applyFill="1" applyBorder="1" applyAlignment="1">
      <alignment vertical="center"/>
    </xf>
    <xf numFmtId="0" fontId="43" fillId="11" borderId="2" xfId="0" applyFont="1" applyFill="1" applyBorder="1"/>
    <xf numFmtId="180" fontId="45" fillId="11" borderId="2" xfId="0" quotePrefix="1" applyNumberFormat="1" applyFont="1" applyFill="1" applyBorder="1" applyAlignment="1">
      <alignment vertical="center"/>
    </xf>
    <xf numFmtId="181" fontId="21" fillId="2" borderId="0" xfId="0" applyNumberFormat="1" applyFont="1" applyFill="1"/>
    <xf numFmtId="49" fontId="33" fillId="11" borderId="8" xfId="0" quotePrefix="1" applyNumberFormat="1" applyFont="1" applyFill="1" applyBorder="1" applyAlignment="1">
      <alignment vertical="center"/>
    </xf>
    <xf numFmtId="180" fontId="18" fillId="11" borderId="2" xfId="0" quotePrefix="1" applyNumberFormat="1" applyFont="1" applyFill="1" applyBorder="1" applyAlignment="1">
      <alignment vertical="center"/>
    </xf>
    <xf numFmtId="182" fontId="4" fillId="11" borderId="7" xfId="0" applyNumberFormat="1" applyFont="1" applyFill="1" applyBorder="1"/>
    <xf numFmtId="182" fontId="21" fillId="2" borderId="0" xfId="0" applyNumberFormat="1" applyFont="1" applyFill="1"/>
    <xf numFmtId="49" fontId="46" fillId="11" borderId="8" xfId="0" quotePrefix="1" applyNumberFormat="1" applyFont="1" applyFill="1" applyBorder="1" applyAlignment="1">
      <alignment vertical="center"/>
    </xf>
    <xf numFmtId="180" fontId="40" fillId="11" borderId="2" xfId="0" quotePrefix="1" applyNumberFormat="1" applyFont="1" applyFill="1" applyBorder="1" applyAlignment="1">
      <alignment vertical="center"/>
    </xf>
    <xf numFmtId="0" fontId="45" fillId="11" borderId="2" xfId="0" applyFont="1" applyFill="1" applyBorder="1"/>
    <xf numFmtId="182" fontId="45" fillId="11" borderId="7" xfId="0" applyNumberFormat="1" applyFont="1" applyFill="1" applyBorder="1"/>
    <xf numFmtId="9" fontId="21" fillId="11" borderId="7" xfId="0" applyNumberFormat="1" applyFont="1" applyFill="1" applyBorder="1"/>
    <xf numFmtId="183" fontId="45" fillId="11" borderId="7" xfId="0" applyNumberFormat="1" applyFont="1" applyFill="1" applyBorder="1"/>
    <xf numFmtId="0" fontId="2" fillId="11" borderId="1" xfId="0" applyFont="1" applyFill="1" applyBorder="1"/>
    <xf numFmtId="0" fontId="2" fillId="2" borderId="2" xfId="0" applyFont="1" applyFill="1" applyBorder="1" applyAlignment="1">
      <alignment horizontal="center"/>
    </xf>
    <xf numFmtId="185" fontId="21" fillId="2" borderId="0" xfId="0" applyNumberFormat="1" applyFont="1" applyFill="1"/>
    <xf numFmtId="43" fontId="2" fillId="2" borderId="0" xfId="1" applyFont="1" applyFill="1"/>
    <xf numFmtId="0" fontId="21" fillId="2" borderId="0" xfId="0" applyFont="1" applyFill="1" applyAlignment="1">
      <alignment horizontal="center"/>
    </xf>
    <xf numFmtId="185" fontId="21" fillId="2" borderId="0" xfId="0" applyNumberFormat="1" applyFont="1" applyFill="1" applyAlignment="1">
      <alignment horizontal="center"/>
    </xf>
    <xf numFmtId="14" fontId="21" fillId="2" borderId="0" xfId="0" applyNumberFormat="1" applyFont="1" applyFill="1" applyAlignment="1">
      <alignment horizontal="center"/>
    </xf>
    <xf numFmtId="166" fontId="21" fillId="2" borderId="0" xfId="1" applyNumberFormat="1" applyFont="1" applyFill="1" applyAlignment="1">
      <alignment horizontal="center"/>
    </xf>
    <xf numFmtId="166" fontId="2" fillId="2" borderId="0" xfId="1" applyNumberFormat="1" applyFont="1" applyFill="1" applyAlignment="1">
      <alignment horizontal="center"/>
    </xf>
    <xf numFmtId="0" fontId="47" fillId="11" borderId="0" xfId="0" applyFont="1" applyFill="1"/>
    <xf numFmtId="0" fontId="48" fillId="0" borderId="1" xfId="0" applyFont="1" applyBorder="1"/>
    <xf numFmtId="0" fontId="32" fillId="0" borderId="1" xfId="0" applyFont="1" applyBorder="1"/>
    <xf numFmtId="14" fontId="32" fillId="0" borderId="1" xfId="0" applyNumberFormat="1" applyFont="1" applyBorder="1"/>
    <xf numFmtId="0" fontId="32" fillId="2" borderId="0" xfId="0" applyFont="1" applyFill="1"/>
    <xf numFmtId="0" fontId="48" fillId="3" borderId="0" xfId="0" applyFont="1" applyFill="1"/>
    <xf numFmtId="0" fontId="32" fillId="3" borderId="0" xfId="0" applyFont="1" applyFill="1"/>
    <xf numFmtId="0" fontId="48" fillId="14" borderId="0" xfId="0" applyFont="1" applyFill="1"/>
    <xf numFmtId="0" fontId="32" fillId="14" borderId="0" xfId="0" applyFont="1" applyFill="1"/>
    <xf numFmtId="43" fontId="32" fillId="2" borderId="0" xfId="1" applyFont="1" applyFill="1"/>
    <xf numFmtId="166" fontId="32" fillId="2" borderId="1" xfId="1" applyNumberFormat="1" applyFont="1" applyFill="1" applyBorder="1"/>
    <xf numFmtId="166" fontId="32" fillId="2" borderId="0" xfId="1" applyNumberFormat="1" applyFont="1" applyFill="1"/>
    <xf numFmtId="0" fontId="33" fillId="2" borderId="0" xfId="0" applyFont="1" applyFill="1"/>
    <xf numFmtId="166" fontId="33" fillId="2" borderId="0" xfId="0" applyNumberFormat="1" applyFont="1" applyFill="1"/>
    <xf numFmtId="174" fontId="32" fillId="2" borderId="0" xfId="1" applyNumberFormat="1" applyFont="1" applyFill="1"/>
    <xf numFmtId="174" fontId="32" fillId="2" borderId="9" xfId="1" applyNumberFormat="1" applyFont="1" applyFill="1" applyBorder="1"/>
    <xf numFmtId="174" fontId="32" fillId="2" borderId="1" xfId="1" applyNumberFormat="1" applyFont="1" applyFill="1" applyBorder="1"/>
    <xf numFmtId="0" fontId="32" fillId="2" borderId="9" xfId="0" applyFont="1" applyFill="1" applyBorder="1"/>
    <xf numFmtId="166" fontId="32" fillId="2" borderId="9" xfId="1" applyNumberFormat="1" applyFont="1" applyFill="1" applyBorder="1"/>
    <xf numFmtId="0" fontId="2" fillId="16" borderId="0" xfId="0" applyFont="1" applyFill="1"/>
    <xf numFmtId="14" fontId="2" fillId="2" borderId="1" xfId="0" applyNumberFormat="1" applyFont="1" applyFill="1" applyBorder="1" applyAlignment="1">
      <alignment horizontal="center"/>
    </xf>
    <xf numFmtId="186" fontId="50" fillId="2" borderId="0" xfId="0" quotePrefix="1" applyNumberFormat="1" applyFont="1" applyFill="1" applyAlignment="1">
      <alignment vertical="center"/>
    </xf>
    <xf numFmtId="186" fontId="32" fillId="2" borderId="0" xfId="0" applyNumberFormat="1" applyFont="1" applyFill="1" applyAlignment="1">
      <alignment vertical="center"/>
    </xf>
    <xf numFmtId="186" fontId="32" fillId="2" borderId="0" xfId="0" quotePrefix="1" applyNumberFormat="1" applyFont="1" applyFill="1" applyAlignment="1">
      <alignment vertical="center"/>
    </xf>
    <xf numFmtId="184" fontId="21" fillId="2" borderId="0" xfId="1" applyNumberFormat="1" applyFont="1" applyFill="1"/>
    <xf numFmtId="182" fontId="21" fillId="2" borderId="0" xfId="1" applyNumberFormat="1" applyFont="1" applyFill="1"/>
    <xf numFmtId="10" fontId="21" fillId="2" borderId="0" xfId="1" applyNumberFormat="1" applyFont="1" applyFill="1"/>
    <xf numFmtId="186" fontId="51" fillId="3" borderId="8" xfId="6" quotePrefix="1" applyNumberFormat="1" applyFont="1" applyFill="1" applyBorder="1" applyAlignment="1">
      <alignment vertical="center"/>
    </xf>
    <xf numFmtId="186" fontId="51" fillId="3" borderId="2" xfId="6" applyNumberFormat="1" applyFont="1" applyFill="1" applyBorder="1" applyAlignment="1">
      <alignment vertical="center"/>
    </xf>
    <xf numFmtId="0" fontId="2" fillId="3" borderId="2" xfId="0" applyFont="1" applyFill="1" applyBorder="1"/>
    <xf numFmtId="184" fontId="4" fillId="3" borderId="7" xfId="0" applyNumberFormat="1" applyFont="1" applyFill="1" applyBorder="1"/>
    <xf numFmtId="0" fontId="2" fillId="3" borderId="7" xfId="0" applyFont="1" applyFill="1" applyBorder="1"/>
    <xf numFmtId="9" fontId="21" fillId="2" borderId="0" xfId="0" applyNumberFormat="1" applyFont="1" applyFill="1"/>
    <xf numFmtId="182" fontId="4" fillId="3" borderId="7" xfId="0" applyNumberFormat="1" applyFont="1" applyFill="1" applyBorder="1"/>
    <xf numFmtId="0" fontId="4" fillId="13" borderId="1" xfId="0" applyFont="1" applyFill="1" applyBorder="1"/>
    <xf numFmtId="17" fontId="4" fillId="13" borderId="1" xfId="0" applyNumberFormat="1" applyFont="1" applyFill="1" applyBorder="1" applyAlignment="1">
      <alignment horizontal="center"/>
    </xf>
    <xf numFmtId="166" fontId="4" fillId="3" borderId="0" xfId="1" applyNumberFormat="1" applyFont="1" applyFill="1"/>
    <xf numFmtId="166" fontId="6" fillId="3" borderId="0" xfId="1" applyNumberFormat="1" applyFont="1" applyFill="1" applyAlignment="1">
      <alignment horizontal="center"/>
    </xf>
    <xf numFmtId="166" fontId="2" fillId="2" borderId="2" xfId="1" applyNumberFormat="1" applyFont="1" applyFill="1" applyBorder="1" applyAlignment="1">
      <alignment vertical="center"/>
    </xf>
    <xf numFmtId="166" fontId="4" fillId="3" borderId="1" xfId="1" applyNumberFormat="1" applyFont="1" applyFill="1" applyBorder="1"/>
    <xf numFmtId="166" fontId="4" fillId="2" borderId="0" xfId="1" applyNumberFormat="1" applyFont="1" applyFill="1" applyAlignment="1">
      <alignment horizontal="center"/>
    </xf>
    <xf numFmtId="166" fontId="21" fillId="2" borderId="2" xfId="1" applyNumberFormat="1" applyFont="1" applyFill="1" applyBorder="1" applyAlignment="1">
      <alignment horizontal="center" vertical="center"/>
    </xf>
    <xf numFmtId="166" fontId="52" fillId="3" borderId="0" xfId="1" applyNumberFormat="1" applyFont="1" applyFill="1" applyAlignment="1">
      <alignment horizontal="center"/>
    </xf>
    <xf numFmtId="166" fontId="52" fillId="3" borderId="1" xfId="1" applyNumberFormat="1" applyFont="1" applyFill="1" applyBorder="1" applyAlignment="1">
      <alignment horizontal="center"/>
    </xf>
    <xf numFmtId="0" fontId="2" fillId="2" borderId="8" xfId="0" applyFont="1" applyFill="1" applyBorder="1"/>
    <xf numFmtId="0" fontId="4" fillId="11" borderId="8" xfId="0" applyFont="1" applyFill="1" applyBorder="1"/>
    <xf numFmtId="166" fontId="4" fillId="11" borderId="7" xfId="1" applyNumberFormat="1" applyFont="1" applyFill="1" applyBorder="1"/>
    <xf numFmtId="166" fontId="52" fillId="2" borderId="0" xfId="1" applyNumberFormat="1" applyFont="1" applyFill="1" applyAlignment="1">
      <alignment horizontal="center"/>
    </xf>
    <xf numFmtId="0" fontId="4" fillId="3" borderId="8" xfId="0" applyFont="1" applyFill="1" applyBorder="1"/>
    <xf numFmtId="166" fontId="4" fillId="3" borderId="2" xfId="1" applyNumberFormat="1" applyFont="1" applyFill="1" applyBorder="1"/>
    <xf numFmtId="0" fontId="4" fillId="3" borderId="2" xfId="0" applyFont="1" applyFill="1" applyBorder="1"/>
    <xf numFmtId="0" fontId="4" fillId="3" borderId="7" xfId="0" applyFont="1" applyFill="1" applyBorder="1"/>
    <xf numFmtId="166" fontId="4" fillId="3" borderId="2" xfId="1" applyNumberFormat="1" applyFont="1" applyFill="1" applyBorder="1" applyAlignment="1">
      <alignment horizontal="center"/>
    </xf>
    <xf numFmtId="166" fontId="4" fillId="3" borderId="7" xfId="1" applyNumberFormat="1" applyFont="1" applyFill="1" applyBorder="1"/>
    <xf numFmtId="166" fontId="4" fillId="3" borderId="7" xfId="1" applyNumberFormat="1" applyFont="1" applyFill="1" applyBorder="1" applyAlignment="1">
      <alignment horizontal="center"/>
    </xf>
    <xf numFmtId="166" fontId="21" fillId="2" borderId="1" xfId="1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166" fontId="5" fillId="3" borderId="2" xfId="1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14" fontId="2" fillId="2" borderId="7" xfId="0" applyNumberFormat="1" applyFont="1" applyFill="1" applyBorder="1"/>
    <xf numFmtId="0" fontId="2" fillId="11" borderId="2" xfId="0" applyFont="1" applyFill="1" applyBorder="1"/>
    <xf numFmtId="0" fontId="2" fillId="11" borderId="7" xfId="0" applyFont="1" applyFill="1" applyBorder="1"/>
    <xf numFmtId="184" fontId="21" fillId="2" borderId="0" xfId="0" applyNumberFormat="1" applyFont="1" applyFill="1"/>
    <xf numFmtId="185" fontId="21" fillId="2" borderId="0" xfId="1" applyNumberFormat="1" applyFont="1" applyFill="1"/>
    <xf numFmtId="186" fontId="21" fillId="2" borderId="1" xfId="0" applyNumberFormat="1" applyFont="1" applyFill="1" applyBorder="1"/>
    <xf numFmtId="186" fontId="2" fillId="2" borderId="0" xfId="0" applyNumberFormat="1" applyFont="1" applyFill="1"/>
    <xf numFmtId="9" fontId="21" fillId="2" borderId="10" xfId="0" applyNumberFormat="1" applyFont="1" applyFill="1" applyBorder="1"/>
    <xf numFmtId="186" fontId="4" fillId="11" borderId="7" xfId="0" applyNumberFormat="1" applyFont="1" applyFill="1" applyBorder="1"/>
    <xf numFmtId="178" fontId="2" fillId="2" borderId="1" xfId="0" applyNumberFormat="1" applyFont="1" applyFill="1" applyBorder="1"/>
    <xf numFmtId="166" fontId="4" fillId="11" borderId="7" xfId="0" applyNumberFormat="1" applyFont="1" applyFill="1" applyBorder="1"/>
    <xf numFmtId="0" fontId="2" fillId="2" borderId="10" xfId="0" applyFont="1" applyFill="1" applyBorder="1" applyAlignment="1">
      <alignment horizontal="center"/>
    </xf>
    <xf numFmtId="182" fontId="2" fillId="2" borderId="0" xfId="1" applyNumberFormat="1" applyFont="1" applyFill="1"/>
    <xf numFmtId="184" fontId="4" fillId="11" borderId="7" xfId="1" applyNumberFormat="1" applyFont="1" applyFill="1" applyBorder="1"/>
    <xf numFmtId="182" fontId="4" fillId="11" borderId="2" xfId="1" applyNumberFormat="1" applyFont="1" applyFill="1" applyBorder="1"/>
    <xf numFmtId="182" fontId="4" fillId="11" borderId="7" xfId="1" applyNumberFormat="1" applyFont="1" applyFill="1" applyBorder="1"/>
    <xf numFmtId="0" fontId="2" fillId="17" borderId="10" xfId="0" applyFont="1" applyFill="1" applyBorder="1"/>
    <xf numFmtId="0" fontId="2" fillId="18" borderId="10" xfId="0" applyFont="1" applyFill="1" applyBorder="1"/>
    <xf numFmtId="188" fontId="21" fillId="2" borderId="0" xfId="0" applyNumberFormat="1" applyFont="1" applyFill="1"/>
    <xf numFmtId="184" fontId="21" fillId="2" borderId="1" xfId="0" applyNumberFormat="1" applyFont="1" applyFill="1" applyBorder="1"/>
    <xf numFmtId="182" fontId="21" fillId="2" borderId="1" xfId="0" applyNumberFormat="1" applyFont="1" applyFill="1" applyBorder="1"/>
    <xf numFmtId="0" fontId="4" fillId="18" borderId="8" xfId="0" applyFont="1" applyFill="1" applyBorder="1"/>
    <xf numFmtId="0" fontId="4" fillId="18" borderId="2" xfId="0" applyFont="1" applyFill="1" applyBorder="1"/>
    <xf numFmtId="182" fontId="4" fillId="18" borderId="2" xfId="0" applyNumberFormat="1" applyFont="1" applyFill="1" applyBorder="1"/>
    <xf numFmtId="182" fontId="4" fillId="18" borderId="7" xfId="0" applyNumberFormat="1" applyFont="1" applyFill="1" applyBorder="1"/>
    <xf numFmtId="17" fontId="2" fillId="2" borderId="7" xfId="0" applyNumberFormat="1" applyFont="1" applyFill="1" applyBorder="1"/>
    <xf numFmtId="189" fontId="2" fillId="2" borderId="8" xfId="0" applyNumberFormat="1" applyFont="1" applyFill="1" applyBorder="1"/>
    <xf numFmtId="190" fontId="21" fillId="2" borderId="0" xfId="1" applyNumberFormat="1" applyFont="1" applyFill="1" applyBorder="1"/>
    <xf numFmtId="190" fontId="21" fillId="2" borderId="1" xfId="1" applyNumberFormat="1" applyFont="1" applyFill="1" applyBorder="1"/>
    <xf numFmtId="190" fontId="4" fillId="2" borderId="0" xfId="0" applyNumberFormat="1" applyFont="1" applyFill="1"/>
    <xf numFmtId="0" fontId="4" fillId="11" borderId="13" xfId="0" applyFont="1" applyFill="1" applyBorder="1"/>
    <xf numFmtId="0" fontId="4" fillId="11" borderId="15" xfId="0" applyFont="1" applyFill="1" applyBorder="1"/>
    <xf numFmtId="0" fontId="4" fillId="11" borderId="1" xfId="0" applyFont="1" applyFill="1" applyBorder="1"/>
    <xf numFmtId="184" fontId="4" fillId="11" borderId="9" xfId="0" applyNumberFormat="1" applyFont="1" applyFill="1" applyBorder="1"/>
    <xf numFmtId="184" fontId="4" fillId="11" borderId="14" xfId="0" applyNumberFormat="1" applyFont="1" applyFill="1" applyBorder="1"/>
    <xf numFmtId="184" fontId="4" fillId="11" borderId="1" xfId="0" applyNumberFormat="1" applyFont="1" applyFill="1" applyBorder="1"/>
    <xf numFmtId="184" fontId="4" fillId="11" borderId="16" xfId="0" applyNumberFormat="1" applyFont="1" applyFill="1" applyBorder="1"/>
    <xf numFmtId="0" fontId="8" fillId="2" borderId="0" xfId="0" applyFont="1" applyFill="1"/>
    <xf numFmtId="0" fontId="53" fillId="2" borderId="0" xfId="0" applyFont="1" applyFill="1"/>
    <xf numFmtId="0" fontId="54" fillId="2" borderId="0" xfId="0" applyFont="1" applyFill="1"/>
    <xf numFmtId="166" fontId="21" fillId="2" borderId="1" xfId="1" applyNumberFormat="1" applyFont="1" applyFill="1" applyBorder="1"/>
    <xf numFmtId="9" fontId="21" fillId="12" borderId="10" xfId="0" applyNumberFormat="1" applyFont="1" applyFill="1" applyBorder="1"/>
    <xf numFmtId="178" fontId="2" fillId="2" borderId="0" xfId="0" applyNumberFormat="1" applyFont="1" applyFill="1"/>
    <xf numFmtId="178" fontId="4" fillId="11" borderId="7" xfId="0" applyNumberFormat="1" applyFont="1" applyFill="1" applyBorder="1"/>
    <xf numFmtId="167" fontId="2" fillId="2" borderId="2" xfId="0" applyNumberFormat="1" applyFont="1" applyFill="1" applyBorder="1"/>
    <xf numFmtId="167" fontId="2" fillId="2" borderId="0" xfId="0" applyNumberFormat="1" applyFont="1" applyFill="1"/>
    <xf numFmtId="167" fontId="4" fillId="2" borderId="0" xfId="0" applyNumberFormat="1" applyFont="1" applyFill="1"/>
    <xf numFmtId="167" fontId="2" fillId="2" borderId="1" xfId="0" applyNumberFormat="1" applyFont="1" applyFill="1" applyBorder="1"/>
    <xf numFmtId="167" fontId="2" fillId="2" borderId="1" xfId="0" applyNumberFormat="1" applyFont="1" applyFill="1" applyBorder="1" applyAlignment="1">
      <alignment horizontal="center"/>
    </xf>
    <xf numFmtId="167" fontId="4" fillId="2" borderId="1" xfId="0" applyNumberFormat="1" applyFont="1" applyFill="1" applyBorder="1"/>
    <xf numFmtId="167" fontId="4" fillId="12" borderId="8" xfId="0" applyNumberFormat="1" applyFont="1" applyFill="1" applyBorder="1"/>
    <xf numFmtId="167" fontId="4" fillId="3" borderId="0" xfId="0" applyNumberFormat="1" applyFont="1" applyFill="1"/>
    <xf numFmtId="0" fontId="2" fillId="3" borderId="0" xfId="0" applyFont="1" applyFill="1"/>
    <xf numFmtId="167" fontId="21" fillId="2" borderId="0" xfId="0" applyNumberFormat="1" applyFont="1" applyFill="1"/>
    <xf numFmtId="9" fontId="21" fillId="2" borderId="0" xfId="2" applyFont="1" applyFill="1" applyBorder="1"/>
    <xf numFmtId="9" fontId="21" fillId="2" borderId="0" xfId="2" applyFont="1" applyFill="1"/>
    <xf numFmtId="9" fontId="4" fillId="12" borderId="2" xfId="2" applyFont="1" applyFill="1" applyBorder="1"/>
    <xf numFmtId="0" fontId="21" fillId="2" borderId="0" xfId="0" applyFont="1" applyFill="1" applyAlignment="1">
      <alignment vertical="center"/>
    </xf>
    <xf numFmtId="178" fontId="21" fillId="2" borderId="1" xfId="0" applyNumberFormat="1" applyFont="1" applyFill="1" applyBorder="1"/>
    <xf numFmtId="43" fontId="21" fillId="12" borderId="10" xfId="1" applyFont="1" applyFill="1" applyBorder="1" applyAlignment="1">
      <alignment horizontal="center"/>
    </xf>
    <xf numFmtId="9" fontId="4" fillId="11" borderId="0" xfId="2" applyFont="1" applyFill="1"/>
    <xf numFmtId="10" fontId="21" fillId="2" borderId="0" xfId="0" applyNumberFormat="1" applyFont="1" applyFill="1"/>
    <xf numFmtId="178" fontId="2" fillId="2" borderId="1" xfId="1" applyNumberFormat="1" applyFont="1" applyFill="1" applyBorder="1"/>
    <xf numFmtId="0" fontId="0" fillId="19" borderId="0" xfId="0" applyFill="1"/>
    <xf numFmtId="0" fontId="0" fillId="20" borderId="0" xfId="0" applyFill="1"/>
    <xf numFmtId="0" fontId="2" fillId="22" borderId="0" xfId="0" applyFont="1" applyFill="1"/>
    <xf numFmtId="0" fontId="57" fillId="22" borderId="0" xfId="0" applyFont="1" applyFill="1"/>
    <xf numFmtId="0" fontId="56" fillId="22" borderId="0" xfId="15" applyFont="1" applyFill="1"/>
    <xf numFmtId="0" fontId="57" fillId="21" borderId="0" xfId="0" applyFont="1" applyFill="1"/>
    <xf numFmtId="0" fontId="58" fillId="21" borderId="0" xfId="15" applyFont="1" applyFill="1"/>
    <xf numFmtId="0" fontId="59" fillId="21" borderId="0" xfId="0" applyFont="1" applyFill="1"/>
    <xf numFmtId="0" fontId="60" fillId="15" borderId="0" xfId="15" applyFont="1" applyFill="1"/>
    <xf numFmtId="0" fontId="57" fillId="15" borderId="0" xfId="0" applyFont="1" applyFill="1"/>
    <xf numFmtId="0" fontId="57" fillId="20" borderId="0" xfId="0" applyFont="1" applyFill="1"/>
    <xf numFmtId="0" fontId="55" fillId="20" borderId="0" xfId="15" applyFont="1" applyFill="1"/>
    <xf numFmtId="0" fontId="2" fillId="3" borderId="8" xfId="0" applyFont="1" applyFill="1" applyBorder="1"/>
    <xf numFmtId="178" fontId="2" fillId="3" borderId="2" xfId="0" applyNumberFormat="1" applyFont="1" applyFill="1" applyBorder="1"/>
    <xf numFmtId="191" fontId="2" fillId="3" borderId="7" xfId="0" applyNumberFormat="1" applyFont="1" applyFill="1" applyBorder="1"/>
    <xf numFmtId="187" fontId="2" fillId="3" borderId="7" xfId="0" applyNumberFormat="1" applyFont="1" applyFill="1" applyBorder="1"/>
    <xf numFmtId="0" fontId="42" fillId="15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30" fillId="11" borderId="13" xfId="0" applyFont="1" applyFill="1" applyBorder="1" applyAlignment="1">
      <alignment horizontal="center" vertical="center"/>
    </xf>
    <xf numFmtId="0" fontId="30" fillId="11" borderId="9" xfId="0" applyFont="1" applyFill="1" applyBorder="1" applyAlignment="1">
      <alignment horizontal="center" vertical="center"/>
    </xf>
    <xf numFmtId="0" fontId="30" fillId="11" borderId="14" xfId="0" applyFont="1" applyFill="1" applyBorder="1" applyAlignment="1">
      <alignment horizontal="center" vertical="center"/>
    </xf>
    <xf numFmtId="0" fontId="30" fillId="11" borderId="15" xfId="0" applyFont="1" applyFill="1" applyBorder="1" applyAlignment="1">
      <alignment horizontal="center" vertical="center"/>
    </xf>
    <xf numFmtId="0" fontId="30" fillId="11" borderId="1" xfId="0" applyFont="1" applyFill="1" applyBorder="1" applyAlignment="1">
      <alignment horizontal="center" vertical="center"/>
    </xf>
    <xf numFmtId="0" fontId="30" fillId="11" borderId="16" xfId="0" applyFont="1" applyFill="1" applyBorder="1" applyAlignment="1">
      <alignment horizontal="center" vertical="center"/>
    </xf>
    <xf numFmtId="0" fontId="29" fillId="11" borderId="0" xfId="0" applyFont="1" applyFill="1" applyAlignment="1">
      <alignment horizontal="center" vertical="center"/>
    </xf>
    <xf numFmtId="0" fontId="25" fillId="11" borderId="0" xfId="0" applyFont="1" applyFill="1" applyAlignment="1">
      <alignment horizontal="center" vertical="center"/>
    </xf>
    <xf numFmtId="0" fontId="41" fillId="3" borderId="0" xfId="0" applyFont="1" applyFill="1" applyAlignment="1">
      <alignment horizontal="center" vertical="center"/>
    </xf>
    <xf numFmtId="0" fontId="43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184" fontId="2" fillId="2" borderId="0" xfId="0" applyNumberFormat="1" applyFont="1" applyFill="1" applyAlignment="1">
      <alignment horizontal="right"/>
    </xf>
    <xf numFmtId="178" fontId="2" fillId="2" borderId="17" xfId="0" applyNumberFormat="1" applyFont="1" applyFill="1" applyBorder="1" applyAlignment="1">
      <alignment horizontal="right"/>
    </xf>
    <xf numFmtId="178" fontId="2" fillId="2" borderId="0" xfId="0" applyNumberFormat="1" applyFont="1" applyFill="1" applyAlignment="1">
      <alignment horizontal="right"/>
    </xf>
  </cellXfs>
  <cellStyles count="16">
    <cellStyle name="Bad 2" xfId="6" xr:uid="{49C12C5F-F24B-41C3-816B-08DCED30E3E4}"/>
    <cellStyle name="Calculation 2" xfId="9" xr:uid="{34ABF333-354C-4939-98DF-D03AC3508EB0}"/>
    <cellStyle name="Check Cell 2" xfId="11" xr:uid="{450AFB67-4E40-4DDB-B5F5-308464378EDA}"/>
    <cellStyle name="Comma" xfId="1" builtinId="3"/>
    <cellStyle name="Currency 2" xfId="13" xr:uid="{6D25CC7D-6E81-4728-AD12-05C15AD96BAD}"/>
    <cellStyle name="Explanatory Text 2" xfId="12" xr:uid="{868136B7-B0CE-4569-B056-CEBEDD99425B}"/>
    <cellStyle name="Good 2" xfId="5" xr:uid="{E4BDCA25-68F9-449D-9158-CEA2EFFDBB59}"/>
    <cellStyle name="Hyperlink" xfId="15" builtinId="8"/>
    <cellStyle name="Input 2" xfId="8" xr:uid="{97701254-6145-4DA8-94A3-3CFF35E81219}"/>
    <cellStyle name="Linked Cell 2" xfId="10" xr:uid="{A50D0435-20AD-44BE-9821-50D5F50D37DD}"/>
    <cellStyle name="Neutral 2" xfId="7" xr:uid="{F3E66834-A73A-4831-BC4B-B0C7D85C1E73}"/>
    <cellStyle name="Normal" xfId="0" builtinId="0"/>
    <cellStyle name="Normal 2" xfId="3" xr:uid="{1F11EB03-7C76-4F22-8523-58D44418E684}"/>
    <cellStyle name="Normal 3" xfId="14" xr:uid="{C8D64A53-9E33-4739-8E5F-7A738A0151B1}"/>
    <cellStyle name="Note 2" xfId="4" xr:uid="{049092A4-B280-4D82-9470-83ECC99D987B}"/>
    <cellStyle name="Per cent" xfId="2" builtinId="5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327660</xdr:colOff>
      <xdr:row>4</xdr:row>
      <xdr:rowOff>7620</xdr:rowOff>
    </xdr:from>
    <xdr:to>
      <xdr:col>8</xdr:col>
      <xdr:colOff>487680</xdr:colOff>
      <xdr:row>11</xdr:row>
      <xdr:rowOff>60960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4724D07A-0FB2-44DB-98D1-92DB0B734C66}"/>
            </a:ext>
          </a:extLst>
        </xdr:cNvPr>
        <xdr:cNvSpPr/>
      </xdr:nvSpPr>
      <xdr:spPr>
        <a:xfrm>
          <a:off x="5204460" y="739140"/>
          <a:ext cx="160020" cy="1333500"/>
        </a:xfrm>
        <a:prstGeom prst="leftBrac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449580</xdr:colOff>
      <xdr:row>3</xdr:row>
      <xdr:rowOff>106680</xdr:rowOff>
    </xdr:from>
    <xdr:to>
      <xdr:col>14</xdr:col>
      <xdr:colOff>579120</xdr:colOff>
      <xdr:row>9</xdr:row>
      <xdr:rowOff>144780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C478EEEB-B5FF-40FF-97E2-C3A3D6AB6D0E}"/>
            </a:ext>
          </a:extLst>
        </xdr:cNvPr>
        <xdr:cNvSpPr/>
      </xdr:nvSpPr>
      <xdr:spPr>
        <a:xfrm>
          <a:off x="8983980" y="609600"/>
          <a:ext cx="129540" cy="1059180"/>
        </a:xfrm>
        <a:prstGeom prst="leftBrac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358140</xdr:colOff>
      <xdr:row>2</xdr:row>
      <xdr:rowOff>106680</xdr:rowOff>
    </xdr:from>
    <xdr:to>
      <xdr:col>7</xdr:col>
      <xdr:colOff>487680</xdr:colOff>
      <xdr:row>8</xdr:row>
      <xdr:rowOff>160020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1966D98E-5428-38F8-DDC2-79D8C9F50FD6}"/>
            </a:ext>
          </a:extLst>
        </xdr:cNvPr>
        <xdr:cNvSpPr/>
      </xdr:nvSpPr>
      <xdr:spPr>
        <a:xfrm>
          <a:off x="4625340" y="441960"/>
          <a:ext cx="129540" cy="1059180"/>
        </a:xfrm>
        <a:prstGeom prst="leftBrac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480060</xdr:colOff>
      <xdr:row>2</xdr:row>
      <xdr:rowOff>137160</xdr:rowOff>
    </xdr:from>
    <xdr:to>
      <xdr:col>7</xdr:col>
      <xdr:colOff>0</xdr:colOff>
      <xdr:row>8</xdr:row>
      <xdr:rowOff>99060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947924EF-80BC-4C5A-B23A-FB111553CD98}"/>
            </a:ext>
          </a:extLst>
        </xdr:cNvPr>
        <xdr:cNvSpPr/>
      </xdr:nvSpPr>
      <xdr:spPr>
        <a:xfrm>
          <a:off x="4137660" y="502920"/>
          <a:ext cx="129540" cy="1059180"/>
        </a:xfrm>
        <a:prstGeom prst="leftBrac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729DD-541B-4A74-8598-A99E2E009AB2}">
  <dimension ref="A3:AA126"/>
  <sheetViews>
    <sheetView zoomScale="87" zoomScaleNormal="90" workbookViewId="0">
      <selection activeCell="E115" sqref="E115"/>
    </sheetView>
  </sheetViews>
  <sheetFormatPr defaultColWidth="8.90625" defaultRowHeight="14" x14ac:dyDescent="0.3"/>
  <cols>
    <col min="1" max="1" width="4.1796875" style="12" customWidth="1"/>
    <col min="2" max="2" width="2.08984375" style="12" customWidth="1"/>
    <col min="3" max="3" width="8.36328125" style="1" bestFit="1" customWidth="1"/>
    <col min="4" max="4" width="10.36328125" style="1" bestFit="1" customWidth="1"/>
    <col min="5" max="5" width="7.90625" style="1" bestFit="1" customWidth="1"/>
    <col min="6" max="9" width="8" style="1" bestFit="1" customWidth="1"/>
    <col min="10" max="10" width="8.08984375" style="1" bestFit="1" customWidth="1"/>
    <col min="11" max="11" width="8" style="1" bestFit="1" customWidth="1"/>
    <col min="12" max="16" width="8.08984375" style="1" bestFit="1" customWidth="1"/>
    <col min="17" max="17" width="7.90625" style="1" bestFit="1" customWidth="1"/>
    <col min="18" max="18" width="3" style="1" bestFit="1" customWidth="1"/>
    <col min="19" max="19" width="12" style="1" bestFit="1" customWidth="1"/>
    <col min="20" max="20" width="3" style="1" customWidth="1"/>
    <col min="21" max="21" width="3" style="12" bestFit="1" customWidth="1"/>
    <col min="22" max="26" width="8.90625" style="12"/>
    <col min="27" max="27" width="10.453125" style="12" bestFit="1" customWidth="1"/>
    <col min="28" max="16384" width="8.90625" style="12"/>
  </cols>
  <sheetData>
    <row r="3" spans="1:26" x14ac:dyDescent="0.3">
      <c r="C3" s="81" t="s">
        <v>91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3"/>
      <c r="T3" s="83"/>
      <c r="U3" s="84"/>
      <c r="V3" s="84"/>
      <c r="W3" s="84"/>
      <c r="X3" s="84"/>
      <c r="Y3" s="84"/>
      <c r="Z3" s="84"/>
    </row>
    <row r="4" spans="1:26" ht="14.4" customHeight="1" x14ac:dyDescent="0.35">
      <c r="A4"/>
      <c r="C4" s="85"/>
      <c r="D4" s="85"/>
      <c r="E4" s="2"/>
      <c r="F4" s="2" t="s">
        <v>92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6" x14ac:dyDescent="0.3">
      <c r="C5" s="86" t="s">
        <v>92</v>
      </c>
      <c r="D5" s="1" t="s">
        <v>93</v>
      </c>
      <c r="F5" s="1">
        <v>0</v>
      </c>
      <c r="G5" s="1">
        <v>1</v>
      </c>
      <c r="H5" s="1">
        <v>2</v>
      </c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>
        <v>10</v>
      </c>
      <c r="Q5" s="1">
        <v>11</v>
      </c>
    </row>
    <row r="6" spans="1:26" x14ac:dyDescent="0.3">
      <c r="C6" s="87">
        <v>0</v>
      </c>
      <c r="D6" s="1" t="s">
        <v>94</v>
      </c>
      <c r="F6" s="88">
        <v>35</v>
      </c>
      <c r="G6" s="88">
        <v>35</v>
      </c>
      <c r="H6" s="88">
        <v>30</v>
      </c>
      <c r="I6" s="88">
        <v>28</v>
      </c>
      <c r="J6" s="88">
        <v>26</v>
      </c>
      <c r="K6" s="88">
        <v>27</v>
      </c>
      <c r="L6" s="88">
        <v>20</v>
      </c>
      <c r="M6" s="88">
        <v>22</v>
      </c>
      <c r="N6" s="88">
        <v>18</v>
      </c>
      <c r="O6" s="88">
        <v>17</v>
      </c>
      <c r="P6" s="88">
        <v>16</v>
      </c>
      <c r="Q6" s="88">
        <v>15</v>
      </c>
      <c r="R6" s="88"/>
    </row>
    <row r="7" spans="1:26" x14ac:dyDescent="0.3">
      <c r="C7" s="89">
        <v>1</v>
      </c>
      <c r="D7" s="1" t="s">
        <v>95</v>
      </c>
      <c r="F7" s="88">
        <v>40</v>
      </c>
      <c r="G7" s="88">
        <v>40</v>
      </c>
      <c r="H7" s="88">
        <v>40</v>
      </c>
      <c r="I7" s="88">
        <v>35</v>
      </c>
      <c r="J7" s="88">
        <v>33</v>
      </c>
      <c r="K7" s="88">
        <v>29</v>
      </c>
      <c r="L7" s="88">
        <v>25</v>
      </c>
      <c r="M7" s="88">
        <v>24</v>
      </c>
      <c r="N7" s="88">
        <v>22</v>
      </c>
      <c r="O7" s="88">
        <v>21</v>
      </c>
      <c r="P7" s="88">
        <v>20</v>
      </c>
      <c r="Q7" s="88"/>
      <c r="R7" s="88"/>
    </row>
    <row r="8" spans="1:26" x14ac:dyDescent="0.3">
      <c r="C8" s="89">
        <v>2</v>
      </c>
      <c r="D8" s="1" t="s">
        <v>88</v>
      </c>
      <c r="F8" s="88">
        <v>18</v>
      </c>
      <c r="G8" s="88">
        <v>17</v>
      </c>
      <c r="H8" s="88">
        <v>19</v>
      </c>
      <c r="I8" s="88">
        <v>20</v>
      </c>
      <c r="J8" s="88">
        <v>16</v>
      </c>
      <c r="K8" s="88">
        <v>15</v>
      </c>
      <c r="L8" s="88">
        <v>13</v>
      </c>
      <c r="M8" s="88">
        <v>12</v>
      </c>
      <c r="N8" s="88">
        <v>11</v>
      </c>
      <c r="O8" s="88">
        <v>10</v>
      </c>
      <c r="P8" s="88"/>
      <c r="Q8" s="88"/>
      <c r="R8" s="88"/>
    </row>
    <row r="9" spans="1:26" x14ac:dyDescent="0.3">
      <c r="C9" s="89">
        <v>3</v>
      </c>
      <c r="D9" s="1" t="s">
        <v>89</v>
      </c>
      <c r="F9" s="88">
        <v>21</v>
      </c>
      <c r="G9" s="88">
        <v>21</v>
      </c>
      <c r="H9" s="88">
        <v>21</v>
      </c>
      <c r="I9" s="88">
        <v>20</v>
      </c>
      <c r="J9" s="88">
        <v>19</v>
      </c>
      <c r="K9" s="88">
        <v>15</v>
      </c>
      <c r="L9" s="88">
        <v>13</v>
      </c>
      <c r="M9" s="88">
        <v>11</v>
      </c>
      <c r="N9" s="88">
        <v>10</v>
      </c>
      <c r="O9" s="88"/>
      <c r="P9" s="88"/>
      <c r="Q9" s="88"/>
      <c r="R9" s="88"/>
    </row>
    <row r="10" spans="1:26" x14ac:dyDescent="0.3">
      <c r="C10" s="89">
        <v>4</v>
      </c>
      <c r="D10" s="1" t="s">
        <v>96</v>
      </c>
      <c r="F10" s="88">
        <v>22</v>
      </c>
      <c r="G10" s="88">
        <v>21</v>
      </c>
      <c r="H10" s="88">
        <v>20</v>
      </c>
      <c r="I10" s="88">
        <v>19</v>
      </c>
      <c r="J10" s="88">
        <v>17</v>
      </c>
      <c r="K10" s="88">
        <v>16</v>
      </c>
      <c r="L10" s="88">
        <v>15</v>
      </c>
      <c r="M10" s="88">
        <v>14</v>
      </c>
      <c r="N10" s="88"/>
      <c r="O10" s="88"/>
      <c r="P10" s="88"/>
      <c r="Q10" s="88"/>
      <c r="R10" s="88"/>
    </row>
    <row r="11" spans="1:26" x14ac:dyDescent="0.3">
      <c r="C11" s="89">
        <v>5</v>
      </c>
      <c r="D11" s="1" t="s">
        <v>97</v>
      </c>
      <c r="F11" s="88">
        <v>20</v>
      </c>
      <c r="G11" s="88">
        <v>17</v>
      </c>
      <c r="H11" s="88">
        <v>15</v>
      </c>
      <c r="I11" s="88">
        <v>14</v>
      </c>
      <c r="J11" s="88">
        <v>13</v>
      </c>
      <c r="K11" s="88">
        <v>12</v>
      </c>
      <c r="L11" s="88">
        <v>11</v>
      </c>
      <c r="M11" s="88"/>
      <c r="N11" s="88"/>
      <c r="O11" s="88"/>
      <c r="P11" s="88"/>
      <c r="Q11" s="88"/>
      <c r="R11" s="88"/>
    </row>
    <row r="12" spans="1:26" x14ac:dyDescent="0.3">
      <c r="C12" s="89">
        <v>6</v>
      </c>
      <c r="D12" s="1" t="s">
        <v>98</v>
      </c>
      <c r="F12" s="88">
        <v>22</v>
      </c>
      <c r="G12" s="88">
        <v>21</v>
      </c>
      <c r="H12" s="88">
        <v>20</v>
      </c>
      <c r="I12" s="88">
        <v>19</v>
      </c>
      <c r="J12" s="88">
        <v>18</v>
      </c>
      <c r="K12" s="88">
        <v>17</v>
      </c>
      <c r="L12" s="88"/>
      <c r="M12" s="88"/>
      <c r="N12" s="88"/>
      <c r="O12" s="88"/>
      <c r="P12" s="88"/>
      <c r="Q12" s="88"/>
      <c r="R12" s="88"/>
    </row>
    <row r="13" spans="1:26" x14ac:dyDescent="0.3">
      <c r="C13" s="89">
        <v>7</v>
      </c>
      <c r="D13" s="1" t="s">
        <v>99</v>
      </c>
      <c r="F13" s="88">
        <v>19</v>
      </c>
      <c r="G13" s="88">
        <v>17</v>
      </c>
      <c r="H13" s="88">
        <v>15</v>
      </c>
      <c r="I13" s="88">
        <v>13</v>
      </c>
      <c r="J13" s="88">
        <v>11</v>
      </c>
      <c r="K13" s="88"/>
      <c r="L13" s="88"/>
      <c r="M13" s="88"/>
      <c r="N13" s="88"/>
      <c r="O13" s="88"/>
      <c r="P13" s="88"/>
      <c r="Q13" s="88"/>
      <c r="R13" s="88"/>
    </row>
    <row r="14" spans="1:26" x14ac:dyDescent="0.3">
      <c r="C14" s="89">
        <v>8</v>
      </c>
      <c r="D14" s="1" t="s">
        <v>100</v>
      </c>
      <c r="F14" s="88">
        <v>23</v>
      </c>
      <c r="G14" s="88">
        <v>22</v>
      </c>
      <c r="H14" s="88">
        <v>21</v>
      </c>
      <c r="I14" s="88">
        <v>20</v>
      </c>
      <c r="J14" s="88"/>
      <c r="K14" s="88"/>
      <c r="L14" s="88"/>
      <c r="M14" s="88"/>
      <c r="N14" s="88"/>
      <c r="O14" s="88"/>
      <c r="P14" s="88"/>
      <c r="Q14" s="88"/>
      <c r="R14" s="88"/>
    </row>
    <row r="15" spans="1:26" x14ac:dyDescent="0.3">
      <c r="C15" s="89">
        <v>9</v>
      </c>
      <c r="D15" s="1" t="s">
        <v>101</v>
      </c>
      <c r="F15" s="88">
        <v>16</v>
      </c>
      <c r="G15" s="88">
        <v>15</v>
      </c>
      <c r="H15" s="88">
        <v>13</v>
      </c>
      <c r="I15" s="88"/>
      <c r="J15" s="88"/>
      <c r="K15" s="88"/>
      <c r="L15" s="88"/>
      <c r="M15" s="88"/>
      <c r="N15" s="88"/>
      <c r="O15" s="88"/>
      <c r="P15" s="88"/>
      <c r="Q15" s="88"/>
      <c r="R15" s="88"/>
    </row>
    <row r="16" spans="1:26" x14ac:dyDescent="0.3">
      <c r="C16" s="89">
        <v>10</v>
      </c>
      <c r="D16" s="1" t="s">
        <v>102</v>
      </c>
      <c r="F16" s="88">
        <v>15</v>
      </c>
      <c r="G16" s="88">
        <v>11</v>
      </c>
      <c r="H16" s="88">
        <v>12</v>
      </c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3:27" x14ac:dyDescent="0.3">
      <c r="C17" s="89">
        <v>11</v>
      </c>
      <c r="D17" s="1" t="s">
        <v>103</v>
      </c>
      <c r="F17" s="88">
        <v>12</v>
      </c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</row>
    <row r="20" spans="3:27" x14ac:dyDescent="0.3">
      <c r="C20" s="81" t="s">
        <v>104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90"/>
      <c r="T20" s="90"/>
      <c r="U20" s="91"/>
      <c r="V20" s="91"/>
      <c r="W20" s="91"/>
      <c r="X20" s="91"/>
      <c r="Y20" s="91"/>
      <c r="Z20" s="91"/>
      <c r="AA20" s="91"/>
    </row>
    <row r="22" spans="3:27" x14ac:dyDescent="0.3">
      <c r="C22" s="92" t="s">
        <v>92</v>
      </c>
      <c r="D22" s="4" t="s">
        <v>93</v>
      </c>
      <c r="E22" s="4"/>
      <c r="F22" s="4">
        <v>0</v>
      </c>
      <c r="G22" s="4">
        <v>1</v>
      </c>
      <c r="H22" s="4">
        <v>2</v>
      </c>
      <c r="I22" s="4">
        <v>3</v>
      </c>
      <c r="J22" s="4">
        <v>4</v>
      </c>
      <c r="K22" s="4">
        <v>5</v>
      </c>
      <c r="L22" s="4">
        <v>6</v>
      </c>
      <c r="M22" s="4">
        <v>7</v>
      </c>
      <c r="N22" s="4">
        <v>8</v>
      </c>
      <c r="O22" s="4">
        <v>9</v>
      </c>
      <c r="P22" s="4">
        <v>10</v>
      </c>
      <c r="Q22" s="4">
        <v>11</v>
      </c>
    </row>
    <row r="24" spans="3:27" x14ac:dyDescent="0.3">
      <c r="C24" s="87">
        <v>0</v>
      </c>
      <c r="D24" s="1" t="s">
        <v>94</v>
      </c>
      <c r="F24" s="11">
        <f t="shared" ref="F24:Q24" si="0">+F6/$F$6</f>
        <v>1</v>
      </c>
      <c r="G24" s="11">
        <f t="shared" si="0"/>
        <v>1</v>
      </c>
      <c r="H24" s="11">
        <f t="shared" si="0"/>
        <v>0.8571428571428571</v>
      </c>
      <c r="I24" s="11">
        <f t="shared" si="0"/>
        <v>0.8</v>
      </c>
      <c r="J24" s="11">
        <f t="shared" si="0"/>
        <v>0.74285714285714288</v>
      </c>
      <c r="K24" s="11">
        <f t="shared" si="0"/>
        <v>0.77142857142857146</v>
      </c>
      <c r="L24" s="11">
        <f t="shared" si="0"/>
        <v>0.5714285714285714</v>
      </c>
      <c r="M24" s="11">
        <f t="shared" si="0"/>
        <v>0.62857142857142856</v>
      </c>
      <c r="N24" s="11">
        <f t="shared" si="0"/>
        <v>0.51428571428571423</v>
      </c>
      <c r="O24" s="11">
        <f t="shared" si="0"/>
        <v>0.48571428571428571</v>
      </c>
      <c r="P24" s="11">
        <f t="shared" si="0"/>
        <v>0.45714285714285713</v>
      </c>
      <c r="Q24" s="11">
        <f t="shared" si="0"/>
        <v>0.42857142857142855</v>
      </c>
    </row>
    <row r="25" spans="3:27" x14ac:dyDescent="0.3">
      <c r="C25" s="89">
        <v>1</v>
      </c>
      <c r="D25" s="1" t="s">
        <v>95</v>
      </c>
      <c r="F25" s="11">
        <f t="shared" ref="F25:P25" si="1">+F7/$F$7</f>
        <v>1</v>
      </c>
      <c r="G25" s="11">
        <f t="shared" si="1"/>
        <v>1</v>
      </c>
      <c r="H25" s="11">
        <f t="shared" si="1"/>
        <v>1</v>
      </c>
      <c r="I25" s="11">
        <f t="shared" si="1"/>
        <v>0.875</v>
      </c>
      <c r="J25" s="11">
        <f t="shared" si="1"/>
        <v>0.82499999999999996</v>
      </c>
      <c r="K25" s="11">
        <f t="shared" si="1"/>
        <v>0.72499999999999998</v>
      </c>
      <c r="L25" s="11">
        <f t="shared" si="1"/>
        <v>0.625</v>
      </c>
      <c r="M25" s="11">
        <f t="shared" si="1"/>
        <v>0.6</v>
      </c>
      <c r="N25" s="11">
        <f t="shared" si="1"/>
        <v>0.55000000000000004</v>
      </c>
      <c r="O25" s="11">
        <f t="shared" si="1"/>
        <v>0.52500000000000002</v>
      </c>
      <c r="P25" s="11">
        <f t="shared" si="1"/>
        <v>0.5</v>
      </c>
      <c r="Q25" s="11"/>
    </row>
    <row r="26" spans="3:27" x14ac:dyDescent="0.3">
      <c r="C26" s="89">
        <v>2</v>
      </c>
      <c r="D26" s="1" t="s">
        <v>88</v>
      </c>
      <c r="F26" s="11">
        <f>+F8/$F$8</f>
        <v>1</v>
      </c>
      <c r="G26" s="11">
        <f t="shared" ref="G26:O26" si="2">+G7/$F$7</f>
        <v>1</v>
      </c>
      <c r="H26" s="11">
        <f t="shared" si="2"/>
        <v>1</v>
      </c>
      <c r="I26" s="11">
        <f t="shared" si="2"/>
        <v>0.875</v>
      </c>
      <c r="J26" s="11">
        <f t="shared" si="2"/>
        <v>0.82499999999999996</v>
      </c>
      <c r="K26" s="11">
        <f t="shared" si="2"/>
        <v>0.72499999999999998</v>
      </c>
      <c r="L26" s="11">
        <f t="shared" si="2"/>
        <v>0.625</v>
      </c>
      <c r="M26" s="11">
        <f t="shared" si="2"/>
        <v>0.6</v>
      </c>
      <c r="N26" s="11">
        <f t="shared" si="2"/>
        <v>0.55000000000000004</v>
      </c>
      <c r="O26" s="11">
        <f t="shared" si="2"/>
        <v>0.52500000000000002</v>
      </c>
      <c r="P26" s="11"/>
      <c r="Q26" s="11"/>
    </row>
    <row r="27" spans="3:27" x14ac:dyDescent="0.3">
      <c r="C27" s="89">
        <v>3</v>
      </c>
      <c r="D27" s="1" t="s">
        <v>89</v>
      </c>
      <c r="F27" s="11">
        <f t="shared" ref="F27:N27" si="3">+F9/$F$9</f>
        <v>1</v>
      </c>
      <c r="G27" s="11">
        <f t="shared" si="3"/>
        <v>1</v>
      </c>
      <c r="H27" s="11">
        <f t="shared" si="3"/>
        <v>1</v>
      </c>
      <c r="I27" s="11">
        <f t="shared" si="3"/>
        <v>0.95238095238095233</v>
      </c>
      <c r="J27" s="11">
        <f t="shared" si="3"/>
        <v>0.90476190476190477</v>
      </c>
      <c r="K27" s="11">
        <f t="shared" si="3"/>
        <v>0.7142857142857143</v>
      </c>
      <c r="L27" s="11">
        <f t="shared" si="3"/>
        <v>0.61904761904761907</v>
      </c>
      <c r="M27" s="11">
        <f t="shared" si="3"/>
        <v>0.52380952380952384</v>
      </c>
      <c r="N27" s="11">
        <f t="shared" si="3"/>
        <v>0.47619047619047616</v>
      </c>
      <c r="O27" s="11"/>
      <c r="P27" s="11"/>
      <c r="Q27" s="11"/>
    </row>
    <row r="28" spans="3:27" x14ac:dyDescent="0.3">
      <c r="C28" s="89">
        <v>4</v>
      </c>
      <c r="D28" s="1" t="s">
        <v>96</v>
      </c>
      <c r="F28" s="11">
        <f t="shared" ref="F28:M28" si="4">+F10/$F$10</f>
        <v>1</v>
      </c>
      <c r="G28" s="11">
        <f t="shared" si="4"/>
        <v>0.95454545454545459</v>
      </c>
      <c r="H28" s="11">
        <f t="shared" si="4"/>
        <v>0.90909090909090906</v>
      </c>
      <c r="I28" s="11">
        <f t="shared" si="4"/>
        <v>0.86363636363636365</v>
      </c>
      <c r="J28" s="11">
        <f t="shared" si="4"/>
        <v>0.77272727272727271</v>
      </c>
      <c r="K28" s="11">
        <f t="shared" si="4"/>
        <v>0.72727272727272729</v>
      </c>
      <c r="L28" s="11">
        <f t="shared" si="4"/>
        <v>0.68181818181818177</v>
      </c>
      <c r="M28" s="11">
        <f t="shared" si="4"/>
        <v>0.63636363636363635</v>
      </c>
      <c r="N28" s="11"/>
      <c r="O28" s="11"/>
      <c r="P28" s="11"/>
      <c r="Q28" s="11"/>
    </row>
    <row r="29" spans="3:27" x14ac:dyDescent="0.3">
      <c r="C29" s="89">
        <v>5</v>
      </c>
      <c r="D29" s="1" t="s">
        <v>97</v>
      </c>
      <c r="F29" s="11">
        <f t="shared" ref="F29:L29" si="5">+F11/$F$11</f>
        <v>1</v>
      </c>
      <c r="G29" s="11">
        <f t="shared" si="5"/>
        <v>0.85</v>
      </c>
      <c r="H29" s="11">
        <f t="shared" si="5"/>
        <v>0.75</v>
      </c>
      <c r="I29" s="11">
        <f t="shared" si="5"/>
        <v>0.7</v>
      </c>
      <c r="J29" s="11">
        <f t="shared" si="5"/>
        <v>0.65</v>
      </c>
      <c r="K29" s="11">
        <f t="shared" si="5"/>
        <v>0.6</v>
      </c>
      <c r="L29" s="11">
        <f t="shared" si="5"/>
        <v>0.55000000000000004</v>
      </c>
      <c r="M29" s="11"/>
      <c r="N29" s="11"/>
      <c r="O29" s="11"/>
      <c r="P29" s="11"/>
      <c r="Q29" s="11"/>
    </row>
    <row r="30" spans="3:27" x14ac:dyDescent="0.3">
      <c r="C30" s="89">
        <v>6</v>
      </c>
      <c r="D30" s="1" t="s">
        <v>98</v>
      </c>
      <c r="F30" s="11">
        <f t="shared" ref="F30:K30" si="6">+F12/$F$12</f>
        <v>1</v>
      </c>
      <c r="G30" s="11">
        <f t="shared" si="6"/>
        <v>0.95454545454545459</v>
      </c>
      <c r="H30" s="11">
        <f t="shared" si="6"/>
        <v>0.90909090909090906</v>
      </c>
      <c r="I30" s="11">
        <f t="shared" si="6"/>
        <v>0.86363636363636365</v>
      </c>
      <c r="J30" s="11">
        <f t="shared" si="6"/>
        <v>0.81818181818181823</v>
      </c>
      <c r="K30" s="11">
        <f t="shared" si="6"/>
        <v>0.77272727272727271</v>
      </c>
      <c r="L30" s="11"/>
      <c r="M30" s="11"/>
      <c r="N30" s="11"/>
      <c r="O30" s="11"/>
      <c r="P30" s="11"/>
      <c r="Q30" s="11"/>
    </row>
    <row r="31" spans="3:27" x14ac:dyDescent="0.3">
      <c r="C31" s="89">
        <v>7</v>
      </c>
      <c r="D31" s="1" t="s">
        <v>99</v>
      </c>
      <c r="F31" s="11">
        <f>+F13/$F$13</f>
        <v>1</v>
      </c>
      <c r="G31" s="11">
        <f>+G13/$F$13</f>
        <v>0.89473684210526316</v>
      </c>
      <c r="H31" s="11">
        <f>+H13/$F$13</f>
        <v>0.78947368421052633</v>
      </c>
      <c r="I31" s="11">
        <f>+I13/$F$13</f>
        <v>0.68421052631578949</v>
      </c>
      <c r="J31" s="11">
        <f>+J13/$F$13</f>
        <v>0.57894736842105265</v>
      </c>
      <c r="K31" s="11"/>
      <c r="L31" s="11"/>
      <c r="M31" s="11"/>
      <c r="N31" s="11"/>
      <c r="O31" s="11"/>
      <c r="P31" s="11"/>
      <c r="Q31" s="11"/>
    </row>
    <row r="32" spans="3:27" x14ac:dyDescent="0.3">
      <c r="C32" s="89">
        <v>8</v>
      </c>
      <c r="D32" s="1" t="s">
        <v>100</v>
      </c>
      <c r="F32" s="11">
        <f>+F14/$F$14</f>
        <v>1</v>
      </c>
      <c r="G32" s="11">
        <f>+G14/$F$14</f>
        <v>0.95652173913043481</v>
      </c>
      <c r="H32" s="11">
        <f>+H14/$F$14</f>
        <v>0.91304347826086951</v>
      </c>
      <c r="I32" s="11">
        <f>+I14/$F$14</f>
        <v>0.86956521739130432</v>
      </c>
      <c r="J32" s="11"/>
      <c r="K32" s="11"/>
      <c r="L32" s="11"/>
      <c r="M32" s="11"/>
      <c r="N32" s="11"/>
      <c r="O32" s="11"/>
      <c r="P32" s="11"/>
      <c r="Q32" s="11"/>
    </row>
    <row r="33" spans="3:27" x14ac:dyDescent="0.3">
      <c r="C33" s="89">
        <v>9</v>
      </c>
      <c r="D33" s="1" t="s">
        <v>101</v>
      </c>
      <c r="F33" s="11">
        <f>+F15/$F$15</f>
        <v>1</v>
      </c>
      <c r="G33" s="11">
        <f>+G15/$F$15</f>
        <v>0.9375</v>
      </c>
      <c r="H33" s="11">
        <f>+H15/$F$15</f>
        <v>0.8125</v>
      </c>
      <c r="I33" s="11"/>
      <c r="J33" s="11"/>
      <c r="K33" s="11"/>
      <c r="L33" s="11"/>
      <c r="M33" s="11"/>
      <c r="N33" s="11"/>
      <c r="O33" s="11"/>
      <c r="P33" s="11"/>
      <c r="Q33" s="11"/>
    </row>
    <row r="34" spans="3:27" x14ac:dyDescent="0.3">
      <c r="C34" s="89">
        <v>10</v>
      </c>
      <c r="D34" s="1" t="s">
        <v>102</v>
      </c>
      <c r="F34" s="11">
        <f>+F16/$F$16</f>
        <v>1</v>
      </c>
      <c r="G34" s="11">
        <f>+G16/$F$16</f>
        <v>0.73333333333333328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3:27" x14ac:dyDescent="0.3">
      <c r="C35" s="89">
        <v>11</v>
      </c>
      <c r="D35" s="1" t="s">
        <v>103</v>
      </c>
      <c r="F35" s="11">
        <f>+F17/$F$17</f>
        <v>1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8" spans="3:27" x14ac:dyDescent="0.3">
      <c r="C38" s="81" t="s">
        <v>105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90"/>
      <c r="U38" s="91"/>
      <c r="V38" s="91"/>
      <c r="W38" s="91"/>
      <c r="X38" s="91"/>
      <c r="Y38" s="91"/>
      <c r="Z38" s="91"/>
      <c r="AA38" s="91"/>
    </row>
    <row r="39" spans="3:27" x14ac:dyDescent="0.3">
      <c r="V39" s="12" t="s">
        <v>106</v>
      </c>
      <c r="X39" s="12" t="s">
        <v>107</v>
      </c>
      <c r="AA39" s="93">
        <v>3000</v>
      </c>
    </row>
    <row r="40" spans="3:27" x14ac:dyDescent="0.3">
      <c r="C40" s="92" t="s">
        <v>92</v>
      </c>
      <c r="D40" s="4" t="s">
        <v>93</v>
      </c>
      <c r="E40" s="4"/>
      <c r="F40" s="4">
        <v>0</v>
      </c>
      <c r="G40" s="4">
        <v>1</v>
      </c>
      <c r="H40" s="4">
        <v>2</v>
      </c>
      <c r="I40" s="4">
        <v>3</v>
      </c>
      <c r="J40" s="4">
        <v>4</v>
      </c>
      <c r="K40" s="4">
        <v>5</v>
      </c>
      <c r="L40" s="4">
        <v>6</v>
      </c>
      <c r="M40" s="4">
        <v>7</v>
      </c>
      <c r="N40" s="4">
        <v>8</v>
      </c>
      <c r="O40" s="4">
        <v>9</v>
      </c>
      <c r="P40" s="4">
        <v>10</v>
      </c>
      <c r="Q40" s="4">
        <v>11</v>
      </c>
      <c r="AA40" s="93">
        <v>700</v>
      </c>
    </row>
    <row r="41" spans="3:27" x14ac:dyDescent="0.3">
      <c r="AA41" s="93">
        <v>250</v>
      </c>
    </row>
    <row r="42" spans="3:27" x14ac:dyDescent="0.3">
      <c r="C42" s="87">
        <v>0</v>
      </c>
      <c r="D42" s="1" t="s">
        <v>94</v>
      </c>
      <c r="F42" s="94">
        <f>+AA39</f>
        <v>3000</v>
      </c>
      <c r="G42" s="94">
        <f>+AA39</f>
        <v>3000</v>
      </c>
      <c r="H42" s="94">
        <f>+AA40</f>
        <v>700</v>
      </c>
      <c r="I42" s="94">
        <v>900</v>
      </c>
      <c r="J42" s="94">
        <f>+I42-300</f>
        <v>600</v>
      </c>
      <c r="K42" s="94">
        <f>+J42+AA41</f>
        <v>850</v>
      </c>
      <c r="L42" s="94">
        <f>+K42+150</f>
        <v>1000</v>
      </c>
      <c r="M42" s="94">
        <v>900</v>
      </c>
      <c r="N42" s="94">
        <v>700</v>
      </c>
      <c r="O42" s="94">
        <v>650</v>
      </c>
      <c r="P42" s="94">
        <v>900</v>
      </c>
      <c r="Q42" s="94">
        <v>500</v>
      </c>
      <c r="R42" s="83"/>
    </row>
    <row r="43" spans="3:27" x14ac:dyDescent="0.3">
      <c r="C43" s="89">
        <v>1</v>
      </c>
      <c r="D43" s="1" t="s">
        <v>95</v>
      </c>
      <c r="F43" s="94">
        <v>950</v>
      </c>
      <c r="G43" s="94">
        <v>850</v>
      </c>
      <c r="H43" s="94">
        <v>750</v>
      </c>
      <c r="I43" s="94">
        <v>900</v>
      </c>
      <c r="J43" s="94">
        <v>800</v>
      </c>
      <c r="K43" s="94">
        <v>700</v>
      </c>
      <c r="L43" s="94">
        <v>600</v>
      </c>
      <c r="M43" s="94">
        <v>500</v>
      </c>
      <c r="N43" s="94">
        <v>900</v>
      </c>
      <c r="O43" s="94">
        <v>850</v>
      </c>
      <c r="P43" s="94">
        <v>3000</v>
      </c>
      <c r="Q43" s="94"/>
      <c r="R43" s="83"/>
    </row>
    <row r="44" spans="3:27" x14ac:dyDescent="0.3">
      <c r="C44" s="89">
        <v>2</v>
      </c>
      <c r="D44" s="1" t="s">
        <v>88</v>
      </c>
      <c r="F44" s="94">
        <f>+AA40</f>
        <v>700</v>
      </c>
      <c r="G44" s="94">
        <f>+G43</f>
        <v>850</v>
      </c>
      <c r="H44" s="94">
        <v>500</v>
      </c>
      <c r="I44" s="94">
        <f t="shared" ref="I44" si="7">+I43</f>
        <v>900</v>
      </c>
      <c r="J44" s="94">
        <v>600</v>
      </c>
      <c r="K44" s="94">
        <f t="shared" ref="K44" si="8">+K43</f>
        <v>700</v>
      </c>
      <c r="L44" s="94">
        <v>800</v>
      </c>
      <c r="M44" s="94">
        <f t="shared" ref="M44" si="9">+M43</f>
        <v>500</v>
      </c>
      <c r="N44" s="94">
        <v>900</v>
      </c>
      <c r="O44" s="94">
        <f t="shared" ref="O44" si="10">+O43</f>
        <v>850</v>
      </c>
      <c r="P44" s="94"/>
      <c r="Q44" s="94"/>
      <c r="R44" s="83"/>
    </row>
    <row r="45" spans="3:27" x14ac:dyDescent="0.3">
      <c r="C45" s="89">
        <v>3</v>
      </c>
      <c r="D45" s="1" t="s">
        <v>89</v>
      </c>
      <c r="F45" s="94">
        <f>+AA40+AA41</f>
        <v>950</v>
      </c>
      <c r="G45" s="94">
        <f>+AA40</f>
        <v>700</v>
      </c>
      <c r="H45" s="94">
        <v>800</v>
      </c>
      <c r="I45" s="94">
        <v>950</v>
      </c>
      <c r="J45" s="94">
        <v>750</v>
      </c>
      <c r="K45" s="94">
        <v>600</v>
      </c>
      <c r="L45" s="94">
        <v>550</v>
      </c>
      <c r="M45" s="94">
        <v>450</v>
      </c>
      <c r="N45" s="94">
        <v>350</v>
      </c>
      <c r="O45" s="94"/>
      <c r="P45" s="94"/>
      <c r="Q45" s="94"/>
      <c r="R45" s="83"/>
    </row>
    <row r="46" spans="3:27" x14ac:dyDescent="0.3">
      <c r="C46" s="89">
        <v>4</v>
      </c>
      <c r="D46" s="1" t="s">
        <v>96</v>
      </c>
      <c r="F46" s="94">
        <f>+AA39</f>
        <v>3000</v>
      </c>
      <c r="G46" s="94">
        <f>+F46</f>
        <v>3000</v>
      </c>
      <c r="H46" s="94">
        <v>1500</v>
      </c>
      <c r="I46" s="94">
        <v>500</v>
      </c>
      <c r="J46" s="94">
        <v>600</v>
      </c>
      <c r="K46" s="94">
        <v>850</v>
      </c>
      <c r="L46" s="94">
        <v>900</v>
      </c>
      <c r="M46" s="94">
        <v>950</v>
      </c>
      <c r="N46" s="94"/>
      <c r="O46" s="94"/>
      <c r="P46" s="94"/>
      <c r="Q46" s="94"/>
      <c r="R46" s="83"/>
    </row>
    <row r="47" spans="3:27" x14ac:dyDescent="0.3">
      <c r="C47" s="89">
        <v>5</v>
      </c>
      <c r="D47" s="1" t="s">
        <v>97</v>
      </c>
      <c r="F47" s="94">
        <f>+AA40</f>
        <v>700</v>
      </c>
      <c r="G47" s="94">
        <f>+F47</f>
        <v>700</v>
      </c>
      <c r="H47" s="94">
        <v>700</v>
      </c>
      <c r="I47" s="94">
        <v>700</v>
      </c>
      <c r="J47" s="94">
        <v>700</v>
      </c>
      <c r="K47" s="94">
        <v>700</v>
      </c>
      <c r="L47" s="94">
        <v>700</v>
      </c>
      <c r="M47" s="94"/>
      <c r="N47" s="94"/>
      <c r="O47" s="94"/>
      <c r="P47" s="94"/>
      <c r="Q47" s="94"/>
      <c r="R47" s="83"/>
    </row>
    <row r="48" spans="3:27" x14ac:dyDescent="0.3">
      <c r="C48" s="89">
        <v>6</v>
      </c>
      <c r="D48" s="1" t="s">
        <v>98</v>
      </c>
      <c r="F48" s="94">
        <f>+AA41</f>
        <v>250</v>
      </c>
      <c r="G48" s="94">
        <f>+F48</f>
        <v>250</v>
      </c>
      <c r="H48" s="94">
        <v>450</v>
      </c>
      <c r="I48" s="94">
        <v>700</v>
      </c>
      <c r="J48" s="94">
        <v>3000</v>
      </c>
      <c r="K48" s="94">
        <v>1500</v>
      </c>
      <c r="L48" s="94"/>
      <c r="M48" s="94"/>
      <c r="N48" s="94"/>
      <c r="O48" s="94"/>
      <c r="P48" s="94"/>
      <c r="Q48" s="94"/>
      <c r="R48" s="83"/>
    </row>
    <row r="49" spans="3:18" x14ac:dyDescent="0.3">
      <c r="C49" s="89">
        <v>7</v>
      </c>
      <c r="D49" s="1" t="s">
        <v>99</v>
      </c>
      <c r="F49" s="94">
        <f>+AA39+AA41</f>
        <v>3250</v>
      </c>
      <c r="G49" s="94">
        <f>+AA40</f>
        <v>700</v>
      </c>
      <c r="H49" s="94">
        <v>3000</v>
      </c>
      <c r="I49" s="94">
        <v>2000</v>
      </c>
      <c r="J49" s="94">
        <v>1500</v>
      </c>
      <c r="K49" s="94"/>
      <c r="L49" s="94"/>
      <c r="M49" s="94"/>
      <c r="N49" s="94"/>
      <c r="O49" s="94"/>
      <c r="P49" s="94"/>
      <c r="Q49" s="94"/>
      <c r="R49" s="83"/>
    </row>
    <row r="50" spans="3:18" x14ac:dyDescent="0.3">
      <c r="C50" s="89">
        <v>8</v>
      </c>
      <c r="D50" s="1" t="s">
        <v>100</v>
      </c>
      <c r="F50" s="94">
        <f>+AA40+AA41</f>
        <v>950</v>
      </c>
      <c r="G50" s="94">
        <f>+F50</f>
        <v>950</v>
      </c>
      <c r="H50" s="94">
        <v>700</v>
      </c>
      <c r="I50" s="94">
        <v>850</v>
      </c>
      <c r="J50" s="94"/>
      <c r="K50" s="94"/>
      <c r="L50" s="94"/>
      <c r="M50" s="94"/>
      <c r="N50" s="94"/>
      <c r="O50" s="94"/>
      <c r="P50" s="94"/>
      <c r="Q50" s="94"/>
      <c r="R50" s="83"/>
    </row>
    <row r="51" spans="3:18" x14ac:dyDescent="0.3">
      <c r="C51" s="89">
        <v>9</v>
      </c>
      <c r="D51" s="1" t="s">
        <v>101</v>
      </c>
      <c r="F51" s="94">
        <f>+AA39</f>
        <v>3000</v>
      </c>
      <c r="G51" s="94">
        <f>+F51</f>
        <v>3000</v>
      </c>
      <c r="H51" s="94">
        <v>2500</v>
      </c>
      <c r="I51" s="94"/>
      <c r="J51" s="94"/>
      <c r="K51" s="94"/>
      <c r="L51" s="94"/>
      <c r="M51" s="94"/>
      <c r="N51" s="94"/>
      <c r="O51" s="94"/>
      <c r="P51" s="94"/>
      <c r="Q51" s="94"/>
      <c r="R51" s="83"/>
    </row>
    <row r="52" spans="3:18" x14ac:dyDescent="0.3">
      <c r="C52" s="89">
        <v>10</v>
      </c>
      <c r="D52" s="1" t="s">
        <v>102</v>
      </c>
      <c r="F52" s="94">
        <f>+AA40</f>
        <v>700</v>
      </c>
      <c r="G52" s="94">
        <f>+AA41</f>
        <v>250</v>
      </c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83"/>
    </row>
    <row r="53" spans="3:18" x14ac:dyDescent="0.3">
      <c r="C53" s="89">
        <v>11</v>
      </c>
      <c r="D53" s="1" t="s">
        <v>103</v>
      </c>
      <c r="F53" s="94">
        <f>+AA40</f>
        <v>700</v>
      </c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83"/>
    </row>
    <row r="56" spans="3:18" x14ac:dyDescent="0.3">
      <c r="C56" s="81" t="s">
        <v>108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8" spans="3:18" x14ac:dyDescent="0.3">
      <c r="C58" s="92" t="s">
        <v>92</v>
      </c>
      <c r="D58" s="4" t="s">
        <v>93</v>
      </c>
      <c r="E58" s="4"/>
      <c r="F58" s="95">
        <v>0</v>
      </c>
      <c r="G58" s="95">
        <v>1</v>
      </c>
      <c r="H58" s="95">
        <v>2</v>
      </c>
      <c r="I58" s="95">
        <v>3</v>
      </c>
      <c r="J58" s="95">
        <v>4</v>
      </c>
      <c r="K58" s="95">
        <v>5</v>
      </c>
      <c r="L58" s="95">
        <v>6</v>
      </c>
      <c r="M58" s="95">
        <v>7</v>
      </c>
      <c r="N58" s="95">
        <v>8</v>
      </c>
      <c r="O58" s="95">
        <v>9</v>
      </c>
      <c r="P58" s="95">
        <v>10</v>
      </c>
      <c r="Q58" s="95">
        <v>11</v>
      </c>
    </row>
    <row r="60" spans="3:18" x14ac:dyDescent="0.3">
      <c r="C60" s="87">
        <v>0</v>
      </c>
      <c r="D60" s="1" t="s">
        <v>94</v>
      </c>
      <c r="F60" s="11">
        <f>+F42/$F$42</f>
        <v>1</v>
      </c>
      <c r="G60" s="11">
        <f t="shared" ref="G60:Q60" si="11">+G42/$F$42</f>
        <v>1</v>
      </c>
      <c r="H60" s="11">
        <f>+H42/$F$42</f>
        <v>0.23333333333333334</v>
      </c>
      <c r="I60" s="11">
        <f t="shared" si="11"/>
        <v>0.3</v>
      </c>
      <c r="J60" s="11">
        <f t="shared" si="11"/>
        <v>0.2</v>
      </c>
      <c r="K60" s="11">
        <f t="shared" si="11"/>
        <v>0.28333333333333333</v>
      </c>
      <c r="L60" s="11">
        <f t="shared" si="11"/>
        <v>0.33333333333333331</v>
      </c>
      <c r="M60" s="11">
        <f t="shared" si="11"/>
        <v>0.3</v>
      </c>
      <c r="N60" s="11">
        <f t="shared" si="11"/>
        <v>0.23333333333333334</v>
      </c>
      <c r="O60" s="11">
        <f t="shared" si="11"/>
        <v>0.21666666666666667</v>
      </c>
      <c r="P60" s="11">
        <f t="shared" si="11"/>
        <v>0.3</v>
      </c>
      <c r="Q60" s="11">
        <f t="shared" si="11"/>
        <v>0.16666666666666666</v>
      </c>
    </row>
    <row r="61" spans="3:18" x14ac:dyDescent="0.3">
      <c r="C61" s="89">
        <v>1</v>
      </c>
      <c r="D61" s="1" t="s">
        <v>95</v>
      </c>
      <c r="F61" s="11">
        <f>+F43/$F$43</f>
        <v>1</v>
      </c>
      <c r="G61" s="11">
        <f t="shared" ref="G61:P61" si="12">+G43/$F$43</f>
        <v>0.89473684210526316</v>
      </c>
      <c r="H61" s="11">
        <f t="shared" si="12"/>
        <v>0.78947368421052633</v>
      </c>
      <c r="I61" s="11">
        <f t="shared" si="12"/>
        <v>0.94736842105263153</v>
      </c>
      <c r="J61" s="11">
        <f t="shared" si="12"/>
        <v>0.84210526315789469</v>
      </c>
      <c r="K61" s="11">
        <f t="shared" si="12"/>
        <v>0.73684210526315785</v>
      </c>
      <c r="L61" s="11">
        <f t="shared" si="12"/>
        <v>0.63157894736842102</v>
      </c>
      <c r="M61" s="11">
        <f t="shared" si="12"/>
        <v>0.52631578947368418</v>
      </c>
      <c r="N61" s="11">
        <f t="shared" si="12"/>
        <v>0.94736842105263153</v>
      </c>
      <c r="O61" s="11">
        <f t="shared" si="12"/>
        <v>0.89473684210526316</v>
      </c>
      <c r="P61" s="11">
        <f t="shared" si="12"/>
        <v>3.1578947368421053</v>
      </c>
      <c r="Q61" s="11"/>
    </row>
    <row r="62" spans="3:18" x14ac:dyDescent="0.3">
      <c r="C62" s="89">
        <v>2</v>
      </c>
      <c r="D62" s="1" t="s">
        <v>88</v>
      </c>
      <c r="F62" s="11">
        <f>+F44/$F$44</f>
        <v>1</v>
      </c>
      <c r="G62" s="11">
        <f t="shared" ref="G62:O62" si="13">+G44/$F$44</f>
        <v>1.2142857142857142</v>
      </c>
      <c r="H62" s="11">
        <f t="shared" si="13"/>
        <v>0.7142857142857143</v>
      </c>
      <c r="I62" s="11">
        <f t="shared" si="13"/>
        <v>1.2857142857142858</v>
      </c>
      <c r="J62" s="11">
        <f t="shared" si="13"/>
        <v>0.8571428571428571</v>
      </c>
      <c r="K62" s="11">
        <f t="shared" si="13"/>
        <v>1</v>
      </c>
      <c r="L62" s="11">
        <f t="shared" si="13"/>
        <v>1.1428571428571428</v>
      </c>
      <c r="M62" s="11">
        <f t="shared" si="13"/>
        <v>0.7142857142857143</v>
      </c>
      <c r="N62" s="11">
        <f t="shared" si="13"/>
        <v>1.2857142857142858</v>
      </c>
      <c r="O62" s="11">
        <f t="shared" si="13"/>
        <v>1.2142857142857142</v>
      </c>
      <c r="P62" s="11"/>
      <c r="Q62" s="11"/>
    </row>
    <row r="63" spans="3:18" x14ac:dyDescent="0.3">
      <c r="C63" s="89">
        <v>3</v>
      </c>
      <c r="D63" s="1" t="s">
        <v>89</v>
      </c>
      <c r="F63" s="11">
        <f>+F45/$F$45</f>
        <v>1</v>
      </c>
      <c r="G63" s="11">
        <f t="shared" ref="G63:N63" si="14">+G45/$F$45</f>
        <v>0.73684210526315785</v>
      </c>
      <c r="H63" s="11">
        <f t="shared" si="14"/>
        <v>0.84210526315789469</v>
      </c>
      <c r="I63" s="11">
        <f t="shared" si="14"/>
        <v>1</v>
      </c>
      <c r="J63" s="11">
        <f t="shared" si="14"/>
        <v>0.78947368421052633</v>
      </c>
      <c r="K63" s="11">
        <f t="shared" si="14"/>
        <v>0.63157894736842102</v>
      </c>
      <c r="L63" s="11">
        <f t="shared" si="14"/>
        <v>0.57894736842105265</v>
      </c>
      <c r="M63" s="11">
        <f t="shared" si="14"/>
        <v>0.47368421052631576</v>
      </c>
      <c r="N63" s="11">
        <f t="shared" si="14"/>
        <v>0.36842105263157893</v>
      </c>
      <c r="O63" s="11"/>
      <c r="P63" s="11"/>
      <c r="Q63" s="11"/>
    </row>
    <row r="64" spans="3:18" x14ac:dyDescent="0.3">
      <c r="C64" s="89">
        <v>4</v>
      </c>
      <c r="D64" s="1" t="s">
        <v>96</v>
      </c>
      <c r="F64" s="11">
        <f>+F46/$F$46</f>
        <v>1</v>
      </c>
      <c r="G64" s="11">
        <f t="shared" ref="G64:M64" si="15">+G46/$F$46</f>
        <v>1</v>
      </c>
      <c r="H64" s="11">
        <f t="shared" si="15"/>
        <v>0.5</v>
      </c>
      <c r="I64" s="11">
        <f t="shared" si="15"/>
        <v>0.16666666666666666</v>
      </c>
      <c r="J64" s="11">
        <f t="shared" si="15"/>
        <v>0.2</v>
      </c>
      <c r="K64" s="11">
        <f t="shared" si="15"/>
        <v>0.28333333333333333</v>
      </c>
      <c r="L64" s="11">
        <f t="shared" si="15"/>
        <v>0.3</v>
      </c>
      <c r="M64" s="11">
        <f t="shared" si="15"/>
        <v>0.31666666666666665</v>
      </c>
      <c r="N64" s="11"/>
      <c r="O64" s="11"/>
      <c r="P64" s="11"/>
      <c r="Q64" s="11"/>
    </row>
    <row r="65" spans="3:18" x14ac:dyDescent="0.3">
      <c r="C65" s="89">
        <v>5</v>
      </c>
      <c r="D65" s="1" t="s">
        <v>97</v>
      </c>
      <c r="F65" s="11">
        <f>+F47/$F$47</f>
        <v>1</v>
      </c>
      <c r="G65" s="11">
        <f t="shared" ref="G65:L65" si="16">+G47/$F$47</f>
        <v>1</v>
      </c>
      <c r="H65" s="11">
        <f t="shared" si="16"/>
        <v>1</v>
      </c>
      <c r="I65" s="11">
        <f t="shared" si="16"/>
        <v>1</v>
      </c>
      <c r="J65" s="11">
        <f t="shared" si="16"/>
        <v>1</v>
      </c>
      <c r="K65" s="11">
        <f t="shared" si="16"/>
        <v>1</v>
      </c>
      <c r="L65" s="11">
        <f t="shared" si="16"/>
        <v>1</v>
      </c>
      <c r="M65" s="11"/>
      <c r="N65" s="11"/>
      <c r="O65" s="11"/>
      <c r="P65" s="11"/>
      <c r="Q65" s="11"/>
    </row>
    <row r="66" spans="3:18" x14ac:dyDescent="0.3">
      <c r="C66" s="89">
        <v>6</v>
      </c>
      <c r="D66" s="1" t="s">
        <v>98</v>
      </c>
      <c r="F66" s="11">
        <f>+F48/$F$48</f>
        <v>1</v>
      </c>
      <c r="G66" s="11">
        <f t="shared" ref="G66:K66" si="17">+G48/$F$48</f>
        <v>1</v>
      </c>
      <c r="H66" s="11">
        <f t="shared" si="17"/>
        <v>1.8</v>
      </c>
      <c r="I66" s="11">
        <f t="shared" si="17"/>
        <v>2.8</v>
      </c>
      <c r="J66" s="11">
        <f t="shared" si="17"/>
        <v>12</v>
      </c>
      <c r="K66" s="11">
        <f t="shared" si="17"/>
        <v>6</v>
      </c>
      <c r="L66" s="11"/>
      <c r="M66" s="11"/>
      <c r="N66" s="11"/>
      <c r="O66" s="11"/>
      <c r="P66" s="11"/>
      <c r="Q66" s="11"/>
    </row>
    <row r="67" spans="3:18" x14ac:dyDescent="0.3">
      <c r="C67" s="89">
        <v>7</v>
      </c>
      <c r="D67" s="1" t="s">
        <v>99</v>
      </c>
      <c r="F67" s="11">
        <f>+F49/$F$49</f>
        <v>1</v>
      </c>
      <c r="G67" s="11">
        <f t="shared" ref="G67:J67" si="18">+G49/$F$49</f>
        <v>0.2153846153846154</v>
      </c>
      <c r="H67" s="11">
        <f t="shared" si="18"/>
        <v>0.92307692307692313</v>
      </c>
      <c r="I67" s="11">
        <f t="shared" si="18"/>
        <v>0.61538461538461542</v>
      </c>
      <c r="J67" s="11">
        <f t="shared" si="18"/>
        <v>0.46153846153846156</v>
      </c>
      <c r="K67" s="11"/>
      <c r="L67" s="11"/>
      <c r="M67" s="11"/>
      <c r="N67" s="11"/>
      <c r="O67" s="11"/>
      <c r="P67" s="11"/>
      <c r="Q67" s="11"/>
    </row>
    <row r="68" spans="3:18" x14ac:dyDescent="0.3">
      <c r="C68" s="89">
        <v>8</v>
      </c>
      <c r="D68" s="1" t="s">
        <v>100</v>
      </c>
      <c r="F68" s="11">
        <f>+F50/$F$50</f>
        <v>1</v>
      </c>
      <c r="G68" s="11">
        <f t="shared" ref="G68:I68" si="19">+G50/$F$50</f>
        <v>1</v>
      </c>
      <c r="H68" s="11">
        <f t="shared" si="19"/>
        <v>0.73684210526315785</v>
      </c>
      <c r="I68" s="11">
        <f t="shared" si="19"/>
        <v>0.89473684210526316</v>
      </c>
      <c r="J68" s="11"/>
      <c r="K68" s="11"/>
      <c r="L68" s="11"/>
      <c r="M68" s="11"/>
      <c r="N68" s="11"/>
      <c r="O68" s="11"/>
      <c r="P68" s="11"/>
      <c r="Q68" s="11"/>
    </row>
    <row r="69" spans="3:18" x14ac:dyDescent="0.3">
      <c r="C69" s="89">
        <v>9</v>
      </c>
      <c r="D69" s="1" t="s">
        <v>101</v>
      </c>
      <c r="F69" s="11">
        <f>+F51/$F$51</f>
        <v>1</v>
      </c>
      <c r="G69" s="11">
        <f t="shared" ref="G69:H69" si="20">+G51/$F$51</f>
        <v>1</v>
      </c>
      <c r="H69" s="11">
        <f t="shared" si="20"/>
        <v>0.83333333333333337</v>
      </c>
      <c r="I69" s="11"/>
      <c r="J69" s="11"/>
      <c r="K69" s="11"/>
      <c r="L69" s="11"/>
      <c r="M69" s="11"/>
      <c r="N69" s="11"/>
      <c r="O69" s="11"/>
      <c r="P69" s="11"/>
      <c r="Q69" s="11"/>
    </row>
    <row r="70" spans="3:18" x14ac:dyDescent="0.3">
      <c r="C70" s="89">
        <v>10</v>
      </c>
      <c r="D70" s="1" t="s">
        <v>102</v>
      </c>
      <c r="F70" s="11">
        <f>+F52/$F$52</f>
        <v>1</v>
      </c>
      <c r="G70" s="11">
        <f t="shared" ref="G70" si="21">+G52/$F$52</f>
        <v>0.35714285714285715</v>
      </c>
      <c r="H70" s="11"/>
      <c r="I70" s="11"/>
      <c r="J70" s="11"/>
      <c r="K70" s="11"/>
      <c r="L70" s="11"/>
      <c r="M70" s="11"/>
      <c r="N70" s="11"/>
      <c r="O70" s="11"/>
      <c r="P70" s="11"/>
      <c r="Q70" s="11"/>
    </row>
    <row r="71" spans="3:18" x14ac:dyDescent="0.3">
      <c r="C71" s="89">
        <v>11</v>
      </c>
      <c r="D71" s="1" t="s">
        <v>103</v>
      </c>
      <c r="F71" s="11">
        <f>+F53/$F$53</f>
        <v>1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</row>
    <row r="75" spans="3:18" x14ac:dyDescent="0.3">
      <c r="C75" s="81" t="s">
        <v>109</v>
      </c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</row>
    <row r="77" spans="3:18" x14ac:dyDescent="0.3">
      <c r="C77" s="92" t="s">
        <v>92</v>
      </c>
      <c r="D77" s="4" t="s">
        <v>93</v>
      </c>
      <c r="E77" s="4"/>
      <c r="F77" s="95">
        <v>0</v>
      </c>
      <c r="G77" s="95">
        <v>1</v>
      </c>
      <c r="H77" s="95">
        <v>2</v>
      </c>
      <c r="I77" s="95">
        <v>3</v>
      </c>
      <c r="J77" s="95">
        <v>4</v>
      </c>
      <c r="K77" s="95">
        <v>5</v>
      </c>
      <c r="L77" s="95">
        <v>6</v>
      </c>
      <c r="M77" s="95">
        <v>7</v>
      </c>
      <c r="N77" s="95">
        <v>8</v>
      </c>
      <c r="O77" s="95">
        <v>9</v>
      </c>
      <c r="P77" s="95">
        <v>10</v>
      </c>
      <c r="Q77" s="95">
        <v>11</v>
      </c>
    </row>
    <row r="79" spans="3:18" x14ac:dyDescent="0.3">
      <c r="C79" s="87">
        <v>0</v>
      </c>
      <c r="D79" s="1" t="s">
        <v>94</v>
      </c>
      <c r="F79" s="97">
        <f>+F42</f>
        <v>3000</v>
      </c>
      <c r="G79" s="97">
        <f>+F79+G42</f>
        <v>6000</v>
      </c>
      <c r="H79" s="97">
        <f>+G79+H42</f>
        <v>6700</v>
      </c>
      <c r="I79" s="97">
        <f t="shared" ref="I79:Q79" si="22">+H79+I42</f>
        <v>7600</v>
      </c>
      <c r="J79" s="97">
        <f t="shared" si="22"/>
        <v>8200</v>
      </c>
      <c r="K79" s="97">
        <f t="shared" si="22"/>
        <v>9050</v>
      </c>
      <c r="L79" s="97">
        <f t="shared" si="22"/>
        <v>10050</v>
      </c>
      <c r="M79" s="97">
        <f t="shared" si="22"/>
        <v>10950</v>
      </c>
      <c r="N79" s="97">
        <f t="shared" si="22"/>
        <v>11650</v>
      </c>
      <c r="O79" s="97">
        <f t="shared" si="22"/>
        <v>12300</v>
      </c>
      <c r="P79" s="97">
        <f t="shared" si="22"/>
        <v>13200</v>
      </c>
      <c r="Q79" s="97">
        <f t="shared" si="22"/>
        <v>13700</v>
      </c>
    </row>
    <row r="80" spans="3:18" x14ac:dyDescent="0.3">
      <c r="C80" s="89">
        <v>1</v>
      </c>
      <c r="D80" s="1" t="s">
        <v>95</v>
      </c>
      <c r="F80" s="97">
        <f t="shared" ref="F80:F90" si="23">+F43</f>
        <v>950</v>
      </c>
      <c r="G80" s="97">
        <f t="shared" ref="G80:P89" si="24">+F80+G43</f>
        <v>1800</v>
      </c>
      <c r="H80" s="97">
        <f t="shared" si="24"/>
        <v>2550</v>
      </c>
      <c r="I80" s="97">
        <f t="shared" si="24"/>
        <v>3450</v>
      </c>
      <c r="J80" s="97">
        <f t="shared" si="24"/>
        <v>4250</v>
      </c>
      <c r="K80" s="97">
        <f t="shared" si="24"/>
        <v>4950</v>
      </c>
      <c r="L80" s="97">
        <f t="shared" si="24"/>
        <v>5550</v>
      </c>
      <c r="M80" s="97">
        <f t="shared" si="24"/>
        <v>6050</v>
      </c>
      <c r="N80" s="97">
        <f t="shared" si="24"/>
        <v>6950</v>
      </c>
      <c r="O80" s="97">
        <f t="shared" si="24"/>
        <v>7800</v>
      </c>
      <c r="P80" s="97">
        <f t="shared" si="24"/>
        <v>10800</v>
      </c>
      <c r="Q80" s="97"/>
    </row>
    <row r="81" spans="3:17" x14ac:dyDescent="0.3">
      <c r="C81" s="89">
        <v>2</v>
      </c>
      <c r="D81" s="1" t="s">
        <v>88</v>
      </c>
      <c r="F81" s="97">
        <f t="shared" si="23"/>
        <v>700</v>
      </c>
      <c r="G81" s="97">
        <f t="shared" si="24"/>
        <v>1550</v>
      </c>
      <c r="H81" s="97">
        <f t="shared" si="24"/>
        <v>2050</v>
      </c>
      <c r="I81" s="97">
        <f t="shared" si="24"/>
        <v>2950</v>
      </c>
      <c r="J81" s="97">
        <f t="shared" si="24"/>
        <v>3550</v>
      </c>
      <c r="K81" s="97">
        <f t="shared" si="24"/>
        <v>4250</v>
      </c>
      <c r="L81" s="97">
        <f t="shared" si="24"/>
        <v>5050</v>
      </c>
      <c r="M81" s="97">
        <f t="shared" si="24"/>
        <v>5550</v>
      </c>
      <c r="N81" s="97">
        <f t="shared" si="24"/>
        <v>6450</v>
      </c>
      <c r="O81" s="97">
        <f t="shared" si="24"/>
        <v>7300</v>
      </c>
      <c r="P81" s="97"/>
      <c r="Q81" s="97"/>
    </row>
    <row r="82" spans="3:17" x14ac:dyDescent="0.3">
      <c r="C82" s="89">
        <v>3</v>
      </c>
      <c r="D82" s="1" t="s">
        <v>89</v>
      </c>
      <c r="F82" s="97">
        <f t="shared" si="23"/>
        <v>950</v>
      </c>
      <c r="G82" s="97">
        <f t="shared" si="24"/>
        <v>1650</v>
      </c>
      <c r="H82" s="97">
        <f t="shared" si="24"/>
        <v>2450</v>
      </c>
      <c r="I82" s="97">
        <f t="shared" si="24"/>
        <v>3400</v>
      </c>
      <c r="J82" s="97">
        <f t="shared" si="24"/>
        <v>4150</v>
      </c>
      <c r="K82" s="97">
        <f t="shared" si="24"/>
        <v>4750</v>
      </c>
      <c r="L82" s="97">
        <f t="shared" si="24"/>
        <v>5300</v>
      </c>
      <c r="M82" s="97">
        <f t="shared" si="24"/>
        <v>5750</v>
      </c>
      <c r="N82" s="97">
        <f t="shared" si="24"/>
        <v>6100</v>
      </c>
      <c r="O82" s="97"/>
      <c r="P82" s="97"/>
      <c r="Q82" s="97"/>
    </row>
    <row r="83" spans="3:17" x14ac:dyDescent="0.3">
      <c r="C83" s="89">
        <v>4</v>
      </c>
      <c r="D83" s="1" t="s">
        <v>96</v>
      </c>
      <c r="F83" s="97">
        <f t="shared" si="23"/>
        <v>3000</v>
      </c>
      <c r="G83" s="97">
        <f t="shared" si="24"/>
        <v>6000</v>
      </c>
      <c r="H83" s="97">
        <f t="shared" si="24"/>
        <v>7500</v>
      </c>
      <c r="I83" s="97">
        <f t="shared" si="24"/>
        <v>8000</v>
      </c>
      <c r="J83" s="97">
        <f t="shared" si="24"/>
        <v>8600</v>
      </c>
      <c r="K83" s="97">
        <f t="shared" si="24"/>
        <v>9450</v>
      </c>
      <c r="L83" s="97">
        <f t="shared" si="24"/>
        <v>10350</v>
      </c>
      <c r="M83" s="97">
        <f t="shared" si="24"/>
        <v>11300</v>
      </c>
      <c r="N83" s="97"/>
      <c r="O83" s="97"/>
      <c r="P83" s="97"/>
      <c r="Q83" s="97"/>
    </row>
    <row r="84" spans="3:17" x14ac:dyDescent="0.3">
      <c r="C84" s="89">
        <v>5</v>
      </c>
      <c r="D84" s="1" t="s">
        <v>97</v>
      </c>
      <c r="F84" s="97">
        <f t="shared" si="23"/>
        <v>700</v>
      </c>
      <c r="G84" s="97">
        <f t="shared" si="24"/>
        <v>1400</v>
      </c>
      <c r="H84" s="97">
        <f t="shared" si="24"/>
        <v>2100</v>
      </c>
      <c r="I84" s="97">
        <f t="shared" si="24"/>
        <v>2800</v>
      </c>
      <c r="J84" s="97">
        <f t="shared" si="24"/>
        <v>3500</v>
      </c>
      <c r="K84" s="97">
        <f t="shared" si="24"/>
        <v>4200</v>
      </c>
      <c r="L84" s="97">
        <f t="shared" si="24"/>
        <v>4900</v>
      </c>
      <c r="M84" s="97"/>
      <c r="N84" s="97"/>
      <c r="O84" s="97"/>
      <c r="P84" s="97"/>
      <c r="Q84" s="97"/>
    </row>
    <row r="85" spans="3:17" x14ac:dyDescent="0.3">
      <c r="C85" s="89">
        <v>6</v>
      </c>
      <c r="D85" s="1" t="s">
        <v>98</v>
      </c>
      <c r="F85" s="97">
        <f t="shared" si="23"/>
        <v>250</v>
      </c>
      <c r="G85" s="97">
        <f t="shared" si="24"/>
        <v>500</v>
      </c>
      <c r="H85" s="97">
        <f t="shared" si="24"/>
        <v>950</v>
      </c>
      <c r="I85" s="97">
        <f t="shared" si="24"/>
        <v>1650</v>
      </c>
      <c r="J85" s="97">
        <f t="shared" si="24"/>
        <v>4650</v>
      </c>
      <c r="K85" s="97">
        <f t="shared" si="24"/>
        <v>6150</v>
      </c>
      <c r="L85" s="97"/>
      <c r="M85" s="97"/>
      <c r="N85" s="97"/>
      <c r="O85" s="97"/>
      <c r="P85" s="97"/>
      <c r="Q85" s="97"/>
    </row>
    <row r="86" spans="3:17" x14ac:dyDescent="0.3">
      <c r="C86" s="89">
        <v>7</v>
      </c>
      <c r="D86" s="1" t="s">
        <v>99</v>
      </c>
      <c r="F86" s="97">
        <f t="shared" si="23"/>
        <v>3250</v>
      </c>
      <c r="G86" s="97">
        <f t="shared" si="24"/>
        <v>3950</v>
      </c>
      <c r="H86" s="97">
        <f t="shared" si="24"/>
        <v>6950</v>
      </c>
      <c r="I86" s="97">
        <f t="shared" si="24"/>
        <v>8950</v>
      </c>
      <c r="J86" s="97">
        <f t="shared" si="24"/>
        <v>10450</v>
      </c>
      <c r="K86" s="97"/>
      <c r="L86" s="97"/>
      <c r="M86" s="97"/>
      <c r="N86" s="97"/>
      <c r="O86" s="97"/>
      <c r="P86" s="97"/>
      <c r="Q86" s="97"/>
    </row>
    <row r="87" spans="3:17" x14ac:dyDescent="0.3">
      <c r="C87" s="89">
        <v>8</v>
      </c>
      <c r="D87" s="1" t="s">
        <v>100</v>
      </c>
      <c r="F87" s="97">
        <f t="shared" si="23"/>
        <v>950</v>
      </c>
      <c r="G87" s="97">
        <f t="shared" si="24"/>
        <v>1900</v>
      </c>
      <c r="H87" s="97">
        <f t="shared" si="24"/>
        <v>2600</v>
      </c>
      <c r="I87" s="97">
        <f t="shared" si="24"/>
        <v>3450</v>
      </c>
      <c r="J87" s="97"/>
      <c r="K87" s="97"/>
      <c r="L87" s="97"/>
      <c r="M87" s="97"/>
      <c r="N87" s="97"/>
      <c r="O87" s="97"/>
      <c r="P87" s="97"/>
      <c r="Q87" s="97"/>
    </row>
    <row r="88" spans="3:17" x14ac:dyDescent="0.3">
      <c r="C88" s="89">
        <v>9</v>
      </c>
      <c r="D88" s="1" t="s">
        <v>101</v>
      </c>
      <c r="F88" s="97">
        <f t="shared" si="23"/>
        <v>3000</v>
      </c>
      <c r="G88" s="97">
        <f t="shared" si="24"/>
        <v>6000</v>
      </c>
      <c r="H88" s="97">
        <f t="shared" si="24"/>
        <v>8500</v>
      </c>
      <c r="I88" s="97"/>
      <c r="J88" s="97"/>
      <c r="K88" s="97"/>
      <c r="L88" s="97"/>
      <c r="M88" s="97"/>
      <c r="N88" s="97"/>
      <c r="O88" s="97"/>
      <c r="P88" s="97"/>
      <c r="Q88" s="97"/>
    </row>
    <row r="89" spans="3:17" x14ac:dyDescent="0.3">
      <c r="C89" s="89">
        <v>10</v>
      </c>
      <c r="D89" s="1" t="s">
        <v>102</v>
      </c>
      <c r="F89" s="97">
        <f t="shared" si="23"/>
        <v>700</v>
      </c>
      <c r="G89" s="97">
        <f t="shared" si="24"/>
        <v>950</v>
      </c>
      <c r="H89" s="97"/>
      <c r="I89" s="97"/>
      <c r="J89" s="97"/>
      <c r="K89" s="97"/>
      <c r="L89" s="97"/>
      <c r="M89" s="97"/>
      <c r="N89" s="97"/>
      <c r="O89" s="97"/>
      <c r="P89" s="97"/>
      <c r="Q89" s="97"/>
    </row>
    <row r="90" spans="3:17" x14ac:dyDescent="0.3">
      <c r="C90" s="89">
        <v>11</v>
      </c>
      <c r="D90" s="1" t="s">
        <v>103</v>
      </c>
      <c r="F90" s="97">
        <f t="shared" si="23"/>
        <v>700</v>
      </c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</row>
    <row r="93" spans="3:17" x14ac:dyDescent="0.3">
      <c r="C93" s="81" t="s">
        <v>110</v>
      </c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5" spans="3:17" x14ac:dyDescent="0.3">
      <c r="C95" s="92" t="s">
        <v>92</v>
      </c>
      <c r="D95" s="4" t="s">
        <v>93</v>
      </c>
      <c r="E95" s="95">
        <v>0</v>
      </c>
      <c r="F95" s="95">
        <v>1</v>
      </c>
      <c r="G95" s="95">
        <v>2</v>
      </c>
      <c r="H95" s="95">
        <v>3</v>
      </c>
      <c r="I95" s="95">
        <v>4</v>
      </c>
      <c r="J95" s="95">
        <v>5</v>
      </c>
      <c r="K95" s="95">
        <v>6</v>
      </c>
      <c r="L95" s="95">
        <v>7</v>
      </c>
      <c r="M95" s="95">
        <v>8</v>
      </c>
      <c r="N95" s="95">
        <v>9</v>
      </c>
      <c r="O95" s="95">
        <v>10</v>
      </c>
      <c r="P95" s="95">
        <v>11</v>
      </c>
    </row>
    <row r="97" spans="3:17" x14ac:dyDescent="0.3">
      <c r="C97" s="87">
        <v>0</v>
      </c>
      <c r="D97" s="1" t="s">
        <v>94</v>
      </c>
      <c r="E97" s="97">
        <f>+F79/$F6</f>
        <v>85.714285714285708</v>
      </c>
      <c r="F97" s="97">
        <f t="shared" ref="F97:P100" si="25">+G79/$F6</f>
        <v>171.42857142857142</v>
      </c>
      <c r="G97" s="97">
        <f t="shared" si="25"/>
        <v>191.42857142857142</v>
      </c>
      <c r="H97" s="97">
        <f t="shared" si="25"/>
        <v>217.14285714285714</v>
      </c>
      <c r="I97" s="97">
        <f t="shared" si="25"/>
        <v>234.28571428571428</v>
      </c>
      <c r="J97" s="97">
        <f t="shared" si="25"/>
        <v>258.57142857142856</v>
      </c>
      <c r="K97" s="97">
        <f t="shared" si="25"/>
        <v>287.14285714285717</v>
      </c>
      <c r="L97" s="97">
        <f t="shared" si="25"/>
        <v>312.85714285714283</v>
      </c>
      <c r="M97" s="97">
        <f t="shared" si="25"/>
        <v>332.85714285714283</v>
      </c>
      <c r="N97" s="97">
        <f t="shared" si="25"/>
        <v>351.42857142857144</v>
      </c>
      <c r="O97" s="97">
        <f t="shared" si="25"/>
        <v>377.14285714285717</v>
      </c>
      <c r="P97" s="97">
        <f t="shared" si="25"/>
        <v>391.42857142857144</v>
      </c>
    </row>
    <row r="98" spans="3:17" x14ac:dyDescent="0.3">
      <c r="C98" s="89">
        <v>1</v>
      </c>
      <c r="D98" s="1" t="s">
        <v>95</v>
      </c>
      <c r="E98" s="97">
        <f>+F80/$F7</f>
        <v>23.75</v>
      </c>
      <c r="F98" s="97">
        <f t="shared" si="25"/>
        <v>45</v>
      </c>
      <c r="G98" s="97">
        <f t="shared" si="25"/>
        <v>63.75</v>
      </c>
      <c r="H98" s="97">
        <f t="shared" si="25"/>
        <v>86.25</v>
      </c>
      <c r="I98" s="97">
        <f t="shared" si="25"/>
        <v>106.25</v>
      </c>
      <c r="J98" s="97">
        <f t="shared" si="25"/>
        <v>123.75</v>
      </c>
      <c r="K98" s="97">
        <f t="shared" si="25"/>
        <v>138.75</v>
      </c>
      <c r="L98" s="97">
        <f t="shared" si="25"/>
        <v>151.25</v>
      </c>
      <c r="M98" s="97">
        <f t="shared" si="25"/>
        <v>173.75</v>
      </c>
      <c r="N98" s="97">
        <f t="shared" si="25"/>
        <v>195</v>
      </c>
      <c r="O98" s="97">
        <f t="shared" si="25"/>
        <v>270</v>
      </c>
      <c r="P98" s="97"/>
    </row>
    <row r="99" spans="3:17" x14ac:dyDescent="0.3">
      <c r="C99" s="89">
        <v>2</v>
      </c>
      <c r="D99" s="1" t="s">
        <v>88</v>
      </c>
      <c r="E99" s="97">
        <f>+F81/$F8</f>
        <v>38.888888888888886</v>
      </c>
      <c r="F99" s="97">
        <f t="shared" si="25"/>
        <v>86.111111111111114</v>
      </c>
      <c r="G99" s="97">
        <f t="shared" si="25"/>
        <v>113.88888888888889</v>
      </c>
      <c r="H99" s="97">
        <f t="shared" si="25"/>
        <v>163.88888888888889</v>
      </c>
      <c r="I99" s="97">
        <f t="shared" si="25"/>
        <v>197.22222222222223</v>
      </c>
      <c r="J99" s="97">
        <f t="shared" si="25"/>
        <v>236.11111111111111</v>
      </c>
      <c r="K99" s="97">
        <f t="shared" si="25"/>
        <v>280.55555555555554</v>
      </c>
      <c r="L99" s="97">
        <f t="shared" si="25"/>
        <v>308.33333333333331</v>
      </c>
      <c r="M99" s="97">
        <f t="shared" si="25"/>
        <v>358.33333333333331</v>
      </c>
      <c r="N99" s="97">
        <f t="shared" si="25"/>
        <v>405.55555555555554</v>
      </c>
      <c r="O99" s="97"/>
      <c r="P99" s="97"/>
    </row>
    <row r="100" spans="3:17" x14ac:dyDescent="0.3">
      <c r="C100" s="89">
        <v>3</v>
      </c>
      <c r="D100" s="1" t="s">
        <v>89</v>
      </c>
      <c r="E100" s="97">
        <f>+F82/$F9</f>
        <v>45.238095238095241</v>
      </c>
      <c r="F100" s="97">
        <f t="shared" si="25"/>
        <v>78.571428571428569</v>
      </c>
      <c r="G100" s="97">
        <f t="shared" si="25"/>
        <v>116.66666666666667</v>
      </c>
      <c r="H100" s="97">
        <f t="shared" si="25"/>
        <v>161.9047619047619</v>
      </c>
      <c r="I100" s="97">
        <f t="shared" si="25"/>
        <v>197.61904761904762</v>
      </c>
      <c r="J100" s="97">
        <f t="shared" si="25"/>
        <v>226.1904761904762</v>
      </c>
      <c r="K100" s="97">
        <f t="shared" si="25"/>
        <v>252.38095238095238</v>
      </c>
      <c r="L100" s="97">
        <f t="shared" si="25"/>
        <v>273.8095238095238</v>
      </c>
      <c r="M100" s="97">
        <f t="shared" si="25"/>
        <v>290.47619047619048</v>
      </c>
      <c r="N100" s="97"/>
      <c r="O100" s="97"/>
      <c r="P100" s="97"/>
    </row>
    <row r="101" spans="3:17" x14ac:dyDescent="0.3">
      <c r="C101" s="89">
        <v>4</v>
      </c>
      <c r="D101" s="1" t="s">
        <v>96</v>
      </c>
      <c r="E101" s="97">
        <f>+F83/$F$10</f>
        <v>136.36363636363637</v>
      </c>
      <c r="F101" s="97">
        <f t="shared" ref="F101:L101" si="26">+G83/$F$10</f>
        <v>272.72727272727275</v>
      </c>
      <c r="G101" s="97">
        <f t="shared" si="26"/>
        <v>340.90909090909093</v>
      </c>
      <c r="H101" s="97">
        <f t="shared" si="26"/>
        <v>363.63636363636363</v>
      </c>
      <c r="I101" s="97">
        <f t="shared" si="26"/>
        <v>390.90909090909093</v>
      </c>
      <c r="J101" s="97">
        <f t="shared" si="26"/>
        <v>429.54545454545456</v>
      </c>
      <c r="K101" s="97">
        <f t="shared" si="26"/>
        <v>470.45454545454544</v>
      </c>
      <c r="L101" s="97">
        <f t="shared" si="26"/>
        <v>513.63636363636363</v>
      </c>
      <c r="M101" s="97"/>
      <c r="N101" s="97"/>
      <c r="O101" s="97"/>
      <c r="P101" s="97"/>
    </row>
    <row r="102" spans="3:17" x14ac:dyDescent="0.3">
      <c r="C102" s="89">
        <v>5</v>
      </c>
      <c r="D102" s="1" t="s">
        <v>97</v>
      </c>
      <c r="E102" s="97">
        <f t="shared" ref="E102:E108" si="27">+F84/$F11</f>
        <v>35</v>
      </c>
      <c r="F102" s="97">
        <f t="shared" ref="F102:K107" si="28">+G84/$F11</f>
        <v>70</v>
      </c>
      <c r="G102" s="97">
        <f t="shared" si="28"/>
        <v>105</v>
      </c>
      <c r="H102" s="97">
        <f t="shared" si="28"/>
        <v>140</v>
      </c>
      <c r="I102" s="97">
        <f t="shared" si="28"/>
        <v>175</v>
      </c>
      <c r="J102" s="97">
        <f t="shared" si="28"/>
        <v>210</v>
      </c>
      <c r="K102" s="97">
        <f t="shared" si="28"/>
        <v>245</v>
      </c>
      <c r="L102" s="97"/>
      <c r="M102" s="97"/>
      <c r="N102" s="97"/>
      <c r="O102" s="97"/>
      <c r="P102" s="97"/>
    </row>
    <row r="103" spans="3:17" x14ac:dyDescent="0.3">
      <c r="C103" s="89">
        <v>6</v>
      </c>
      <c r="D103" s="1" t="s">
        <v>98</v>
      </c>
      <c r="E103" s="97">
        <f t="shared" si="27"/>
        <v>11.363636363636363</v>
      </c>
      <c r="F103" s="97">
        <f t="shared" si="28"/>
        <v>22.727272727272727</v>
      </c>
      <c r="G103" s="97">
        <f t="shared" si="28"/>
        <v>43.18181818181818</v>
      </c>
      <c r="H103" s="97">
        <f t="shared" si="28"/>
        <v>75</v>
      </c>
      <c r="I103" s="97">
        <f t="shared" si="28"/>
        <v>211.36363636363637</v>
      </c>
      <c r="J103" s="97">
        <f t="shared" si="28"/>
        <v>279.54545454545456</v>
      </c>
      <c r="K103" s="97"/>
      <c r="L103" s="97"/>
      <c r="M103" s="97"/>
      <c r="N103" s="97"/>
      <c r="O103" s="97"/>
      <c r="P103" s="97"/>
    </row>
    <row r="104" spans="3:17" x14ac:dyDescent="0.3">
      <c r="C104" s="89">
        <v>7</v>
      </c>
      <c r="D104" s="1" t="s">
        <v>99</v>
      </c>
      <c r="E104" s="97">
        <f t="shared" si="27"/>
        <v>171.05263157894737</v>
      </c>
      <c r="F104" s="97">
        <f t="shared" si="28"/>
        <v>207.89473684210526</v>
      </c>
      <c r="G104" s="97">
        <f t="shared" si="28"/>
        <v>365.78947368421052</v>
      </c>
      <c r="H104" s="97">
        <f t="shared" si="28"/>
        <v>471.05263157894734</v>
      </c>
      <c r="I104" s="97">
        <f t="shared" si="28"/>
        <v>550</v>
      </c>
      <c r="J104" s="97"/>
      <c r="K104" s="97"/>
      <c r="L104" s="97"/>
      <c r="M104" s="97"/>
      <c r="N104" s="97"/>
      <c r="O104" s="97"/>
      <c r="P104" s="97"/>
    </row>
    <row r="105" spans="3:17" x14ac:dyDescent="0.3">
      <c r="C105" s="89">
        <v>8</v>
      </c>
      <c r="D105" s="1" t="s">
        <v>100</v>
      </c>
      <c r="E105" s="97">
        <f t="shared" si="27"/>
        <v>41.304347826086953</v>
      </c>
      <c r="F105" s="97">
        <f t="shared" si="28"/>
        <v>82.608695652173907</v>
      </c>
      <c r="G105" s="97">
        <f t="shared" si="28"/>
        <v>113.04347826086956</v>
      </c>
      <c r="H105" s="97">
        <f t="shared" si="28"/>
        <v>150</v>
      </c>
      <c r="I105" s="97"/>
      <c r="J105" s="97"/>
      <c r="K105" s="97"/>
      <c r="L105" s="97"/>
      <c r="M105" s="97"/>
      <c r="N105" s="97"/>
      <c r="O105" s="97"/>
      <c r="P105" s="97"/>
    </row>
    <row r="106" spans="3:17" x14ac:dyDescent="0.3">
      <c r="C106" s="89">
        <v>9</v>
      </c>
      <c r="D106" s="1" t="s">
        <v>101</v>
      </c>
      <c r="E106" s="97">
        <f t="shared" si="27"/>
        <v>187.5</v>
      </c>
      <c r="F106" s="97">
        <f t="shared" si="28"/>
        <v>375</v>
      </c>
      <c r="G106" s="97">
        <f t="shared" si="28"/>
        <v>531.25</v>
      </c>
      <c r="H106" s="97"/>
      <c r="I106" s="97"/>
      <c r="J106" s="97"/>
      <c r="K106" s="97"/>
      <c r="L106" s="97"/>
      <c r="M106" s="97"/>
      <c r="N106" s="97"/>
      <c r="O106" s="97"/>
      <c r="P106" s="97"/>
    </row>
    <row r="107" spans="3:17" x14ac:dyDescent="0.3">
      <c r="C107" s="89">
        <v>10</v>
      </c>
      <c r="D107" s="1" t="s">
        <v>102</v>
      </c>
      <c r="E107" s="97">
        <f t="shared" si="27"/>
        <v>46.666666666666664</v>
      </c>
      <c r="F107" s="97">
        <f t="shared" si="28"/>
        <v>63.333333333333336</v>
      </c>
      <c r="G107" s="97"/>
      <c r="H107" s="97"/>
      <c r="I107" s="97"/>
      <c r="J107" s="97"/>
      <c r="K107" s="97"/>
      <c r="L107" s="97"/>
      <c r="M107" s="97"/>
      <c r="N107" s="97"/>
      <c r="O107" s="97"/>
      <c r="P107" s="97"/>
    </row>
    <row r="108" spans="3:17" x14ac:dyDescent="0.3">
      <c r="C108" s="89">
        <v>11</v>
      </c>
      <c r="D108" s="1" t="s">
        <v>103</v>
      </c>
      <c r="E108" s="97">
        <f t="shared" si="27"/>
        <v>58.333333333333336</v>
      </c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</row>
    <row r="111" spans="3:17" x14ac:dyDescent="0.3">
      <c r="C111" s="82" t="s">
        <v>111</v>
      </c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</row>
    <row r="113" spans="3:22" x14ac:dyDescent="0.3">
      <c r="C113" s="2" t="s">
        <v>92</v>
      </c>
      <c r="D113" s="2" t="s">
        <v>93</v>
      </c>
      <c r="E113" s="95">
        <v>0</v>
      </c>
      <c r="F113" s="95">
        <v>1</v>
      </c>
      <c r="G113" s="95">
        <v>2</v>
      </c>
      <c r="H113" s="95">
        <v>3</v>
      </c>
      <c r="I113" s="95">
        <v>4</v>
      </c>
      <c r="J113" s="95">
        <v>5</v>
      </c>
      <c r="K113" s="95">
        <v>6</v>
      </c>
      <c r="L113" s="95">
        <v>7</v>
      </c>
      <c r="M113" s="95">
        <v>8</v>
      </c>
      <c r="N113" s="95">
        <v>9</v>
      </c>
      <c r="O113" s="95">
        <v>10</v>
      </c>
      <c r="P113" s="95">
        <v>11</v>
      </c>
    </row>
    <row r="114" spans="3:22" x14ac:dyDescent="0.3">
      <c r="C114" s="2"/>
      <c r="D114" s="2"/>
      <c r="S114" s="1" t="s">
        <v>112</v>
      </c>
      <c r="V114" s="98">
        <v>0.7</v>
      </c>
    </row>
    <row r="115" spans="3:22" x14ac:dyDescent="0.3">
      <c r="C115" s="2">
        <v>0</v>
      </c>
      <c r="D115" s="2" t="s">
        <v>94</v>
      </c>
      <c r="E115" s="97">
        <f>+E97*$V$114</f>
        <v>59.999999999999993</v>
      </c>
      <c r="F115" s="97">
        <f t="shared" ref="F115:P115" si="29">+F97*$V$114</f>
        <v>119.99999999999999</v>
      </c>
      <c r="G115" s="97">
        <f t="shared" si="29"/>
        <v>133.99999999999997</v>
      </c>
      <c r="H115" s="97">
        <f t="shared" si="29"/>
        <v>152</v>
      </c>
      <c r="I115" s="97">
        <f t="shared" si="29"/>
        <v>163.99999999999997</v>
      </c>
      <c r="J115" s="97">
        <f t="shared" si="29"/>
        <v>180.99999999999997</v>
      </c>
      <c r="K115" s="97">
        <f t="shared" si="29"/>
        <v>201</v>
      </c>
      <c r="L115" s="97">
        <f t="shared" si="29"/>
        <v>218.99999999999997</v>
      </c>
      <c r="M115" s="97">
        <f t="shared" si="29"/>
        <v>232.99999999999997</v>
      </c>
      <c r="N115" s="97">
        <f t="shared" si="29"/>
        <v>246</v>
      </c>
      <c r="O115" s="97">
        <f t="shared" si="29"/>
        <v>264</v>
      </c>
      <c r="P115" s="97">
        <f t="shared" si="29"/>
        <v>274</v>
      </c>
      <c r="S115" s="1" t="s">
        <v>113</v>
      </c>
      <c r="V115" s="100">
        <f>+'LTV CAC'!D22</f>
        <v>137.89473684210526</v>
      </c>
    </row>
    <row r="116" spans="3:22" x14ac:dyDescent="0.3">
      <c r="C116" s="2">
        <v>1</v>
      </c>
      <c r="D116" s="2" t="s">
        <v>95</v>
      </c>
      <c r="E116" s="97">
        <f t="shared" ref="E116:O126" si="30">+E98*$V$114</f>
        <v>16.625</v>
      </c>
      <c r="F116" s="97">
        <f t="shared" si="30"/>
        <v>31.499999999999996</v>
      </c>
      <c r="G116" s="97">
        <f t="shared" si="30"/>
        <v>44.625</v>
      </c>
      <c r="H116" s="97">
        <f t="shared" si="30"/>
        <v>60.374999999999993</v>
      </c>
      <c r="I116" s="97">
        <f t="shared" si="30"/>
        <v>74.375</v>
      </c>
      <c r="J116" s="97">
        <f t="shared" si="30"/>
        <v>86.625</v>
      </c>
      <c r="K116" s="97">
        <f t="shared" si="30"/>
        <v>97.125</v>
      </c>
      <c r="L116" s="97">
        <f t="shared" si="30"/>
        <v>105.875</v>
      </c>
      <c r="M116" s="97">
        <f t="shared" si="30"/>
        <v>121.62499999999999</v>
      </c>
      <c r="N116" s="97">
        <f t="shared" si="30"/>
        <v>136.5</v>
      </c>
      <c r="O116" s="97">
        <f t="shared" si="30"/>
        <v>189</v>
      </c>
      <c r="P116" s="97"/>
    </row>
    <row r="117" spans="3:22" x14ac:dyDescent="0.3">
      <c r="C117" s="2">
        <v>2</v>
      </c>
      <c r="D117" s="2" t="s">
        <v>88</v>
      </c>
      <c r="E117" s="97">
        <f t="shared" si="30"/>
        <v>27.222222222222218</v>
      </c>
      <c r="F117" s="97">
        <f t="shared" si="30"/>
        <v>60.277777777777779</v>
      </c>
      <c r="G117" s="97">
        <f t="shared" si="30"/>
        <v>79.722222222222214</v>
      </c>
      <c r="H117" s="97">
        <f t="shared" si="30"/>
        <v>114.72222222222221</v>
      </c>
      <c r="I117" s="97">
        <f t="shared" si="30"/>
        <v>138.05555555555554</v>
      </c>
      <c r="J117" s="97">
        <f t="shared" si="30"/>
        <v>165.27777777777777</v>
      </c>
      <c r="K117" s="97">
        <f t="shared" si="30"/>
        <v>196.38888888888886</v>
      </c>
      <c r="L117" s="97">
        <f t="shared" si="30"/>
        <v>215.83333333333331</v>
      </c>
      <c r="M117" s="97">
        <f t="shared" si="30"/>
        <v>250.83333333333331</v>
      </c>
      <c r="N117" s="97">
        <f t="shared" si="30"/>
        <v>283.88888888888886</v>
      </c>
      <c r="O117" s="97"/>
      <c r="P117" s="97"/>
      <c r="S117" s="1" t="s">
        <v>114</v>
      </c>
      <c r="V117" s="99">
        <f>+P115/V115</f>
        <v>1.9870229007633589</v>
      </c>
    </row>
    <row r="118" spans="3:22" x14ac:dyDescent="0.3">
      <c r="C118" s="2">
        <v>3</v>
      </c>
      <c r="D118" s="2" t="s">
        <v>89</v>
      </c>
      <c r="E118" s="97">
        <f t="shared" si="30"/>
        <v>31.666666666666668</v>
      </c>
      <c r="F118" s="97">
        <f t="shared" si="30"/>
        <v>54.999999999999993</v>
      </c>
      <c r="G118" s="97">
        <f t="shared" si="30"/>
        <v>81.666666666666671</v>
      </c>
      <c r="H118" s="97">
        <f t="shared" si="30"/>
        <v>113.33333333333331</v>
      </c>
      <c r="I118" s="97">
        <f t="shared" si="30"/>
        <v>138.33333333333331</v>
      </c>
      <c r="J118" s="97">
        <f t="shared" si="30"/>
        <v>158.33333333333334</v>
      </c>
      <c r="K118" s="97">
        <f t="shared" si="30"/>
        <v>176.66666666666666</v>
      </c>
      <c r="L118" s="97">
        <f t="shared" si="30"/>
        <v>191.66666666666666</v>
      </c>
      <c r="M118" s="97">
        <f t="shared" si="30"/>
        <v>203.33333333333331</v>
      </c>
      <c r="N118" s="97"/>
      <c r="O118" s="97"/>
      <c r="P118" s="97"/>
    </row>
    <row r="119" spans="3:22" x14ac:dyDescent="0.3">
      <c r="C119" s="2">
        <v>4</v>
      </c>
      <c r="D119" s="2" t="s">
        <v>96</v>
      </c>
      <c r="E119" s="97">
        <f t="shared" si="30"/>
        <v>95.454545454545453</v>
      </c>
      <c r="F119" s="97">
        <f t="shared" si="30"/>
        <v>190.90909090909091</v>
      </c>
      <c r="G119" s="97">
        <f t="shared" si="30"/>
        <v>238.63636363636363</v>
      </c>
      <c r="H119" s="97">
        <f t="shared" si="30"/>
        <v>254.54545454545453</v>
      </c>
      <c r="I119" s="97">
        <f t="shared" si="30"/>
        <v>273.63636363636363</v>
      </c>
      <c r="J119" s="97">
        <f t="shared" si="30"/>
        <v>300.68181818181819</v>
      </c>
      <c r="K119" s="97">
        <f t="shared" si="30"/>
        <v>329.31818181818181</v>
      </c>
      <c r="L119" s="97">
        <f t="shared" si="30"/>
        <v>359.5454545454545</v>
      </c>
      <c r="M119" s="97"/>
      <c r="N119" s="97"/>
      <c r="O119" s="97"/>
      <c r="P119" s="97"/>
    </row>
    <row r="120" spans="3:22" x14ac:dyDescent="0.3">
      <c r="C120" s="2">
        <v>5</v>
      </c>
      <c r="D120" s="2" t="s">
        <v>97</v>
      </c>
      <c r="E120" s="97">
        <f t="shared" si="30"/>
        <v>24.5</v>
      </c>
      <c r="F120" s="97">
        <f t="shared" si="30"/>
        <v>49</v>
      </c>
      <c r="G120" s="97">
        <f t="shared" si="30"/>
        <v>73.5</v>
      </c>
      <c r="H120" s="97">
        <f t="shared" si="30"/>
        <v>98</v>
      </c>
      <c r="I120" s="97">
        <f t="shared" si="30"/>
        <v>122.49999999999999</v>
      </c>
      <c r="J120" s="97">
        <f t="shared" si="30"/>
        <v>147</v>
      </c>
      <c r="K120" s="97">
        <f t="shared" si="30"/>
        <v>171.5</v>
      </c>
      <c r="L120" s="97"/>
      <c r="M120" s="97"/>
      <c r="N120" s="97"/>
      <c r="O120" s="97"/>
      <c r="P120" s="97"/>
    </row>
    <row r="121" spans="3:22" x14ac:dyDescent="0.3">
      <c r="C121" s="2">
        <v>6</v>
      </c>
      <c r="D121" s="2" t="s">
        <v>98</v>
      </c>
      <c r="E121" s="97">
        <f t="shared" si="30"/>
        <v>7.9545454545454541</v>
      </c>
      <c r="F121" s="97">
        <f t="shared" si="30"/>
        <v>15.909090909090908</v>
      </c>
      <c r="G121" s="97">
        <f t="shared" si="30"/>
        <v>30.227272727272723</v>
      </c>
      <c r="H121" s="97">
        <f t="shared" si="30"/>
        <v>52.5</v>
      </c>
      <c r="I121" s="97">
        <f t="shared" si="30"/>
        <v>147.95454545454544</v>
      </c>
      <c r="J121" s="97">
        <f t="shared" si="30"/>
        <v>195.68181818181819</v>
      </c>
      <c r="K121" s="97"/>
      <c r="L121" s="97"/>
      <c r="M121" s="97"/>
      <c r="N121" s="97"/>
      <c r="O121" s="97"/>
      <c r="P121" s="97"/>
    </row>
    <row r="122" spans="3:22" x14ac:dyDescent="0.3">
      <c r="C122" s="2">
        <v>7</v>
      </c>
      <c r="D122" s="2" t="s">
        <v>99</v>
      </c>
      <c r="E122" s="97">
        <f t="shared" si="30"/>
        <v>119.73684210526315</v>
      </c>
      <c r="F122" s="97">
        <f t="shared" si="30"/>
        <v>145.52631578947367</v>
      </c>
      <c r="G122" s="97">
        <f t="shared" si="30"/>
        <v>256.05263157894734</v>
      </c>
      <c r="H122" s="97">
        <f t="shared" si="30"/>
        <v>329.73684210526312</v>
      </c>
      <c r="I122" s="97">
        <f t="shared" si="30"/>
        <v>385</v>
      </c>
      <c r="J122" s="97"/>
      <c r="K122" s="97"/>
      <c r="L122" s="97"/>
      <c r="M122" s="97"/>
      <c r="N122" s="97"/>
      <c r="O122" s="97"/>
      <c r="P122" s="97"/>
    </row>
    <row r="123" spans="3:22" x14ac:dyDescent="0.3">
      <c r="C123" s="2">
        <v>8</v>
      </c>
      <c r="D123" s="2" t="s">
        <v>100</v>
      </c>
      <c r="E123" s="97">
        <f t="shared" si="30"/>
        <v>28.913043478260864</v>
      </c>
      <c r="F123" s="97">
        <f t="shared" si="30"/>
        <v>57.826086956521728</v>
      </c>
      <c r="G123" s="97">
        <f t="shared" si="30"/>
        <v>79.130434782608688</v>
      </c>
      <c r="H123" s="97">
        <f t="shared" si="30"/>
        <v>105</v>
      </c>
      <c r="I123" s="97"/>
      <c r="J123" s="97"/>
      <c r="K123" s="97"/>
      <c r="L123" s="97"/>
      <c r="M123" s="97"/>
      <c r="N123" s="97"/>
      <c r="O123" s="97"/>
      <c r="P123" s="97"/>
    </row>
    <row r="124" spans="3:22" x14ac:dyDescent="0.3">
      <c r="C124" s="2">
        <v>9</v>
      </c>
      <c r="D124" s="2" t="s">
        <v>101</v>
      </c>
      <c r="E124" s="97">
        <f t="shared" si="30"/>
        <v>131.25</v>
      </c>
      <c r="F124" s="97">
        <f t="shared" si="30"/>
        <v>262.5</v>
      </c>
      <c r="G124" s="97">
        <f t="shared" si="30"/>
        <v>371.875</v>
      </c>
      <c r="H124" s="97"/>
      <c r="I124" s="97"/>
      <c r="J124" s="97"/>
      <c r="K124" s="97"/>
      <c r="L124" s="97"/>
      <c r="M124" s="97"/>
      <c r="N124" s="97"/>
      <c r="O124" s="97"/>
      <c r="P124" s="97"/>
    </row>
    <row r="125" spans="3:22" x14ac:dyDescent="0.3">
      <c r="C125" s="2">
        <v>10</v>
      </c>
      <c r="D125" s="2" t="s">
        <v>102</v>
      </c>
      <c r="E125" s="97">
        <f t="shared" si="30"/>
        <v>32.666666666666664</v>
      </c>
      <c r="F125" s="97">
        <f t="shared" si="30"/>
        <v>44.333333333333336</v>
      </c>
      <c r="G125" s="97"/>
      <c r="H125" s="97"/>
      <c r="I125" s="97"/>
      <c r="J125" s="97"/>
      <c r="K125" s="97"/>
      <c r="L125" s="97"/>
      <c r="M125" s="97"/>
      <c r="N125" s="97"/>
      <c r="O125" s="97"/>
      <c r="P125" s="97"/>
    </row>
    <row r="126" spans="3:22" x14ac:dyDescent="0.3">
      <c r="C126" s="2">
        <v>11</v>
      </c>
      <c r="D126" s="2" t="s">
        <v>103</v>
      </c>
      <c r="E126" s="97">
        <f t="shared" si="30"/>
        <v>40.833333333333336</v>
      </c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</row>
  </sheetData>
  <conditionalFormatting sqref="C6:Q17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7:Q108">
    <cfRule type="colorScale" priority="2">
      <colorScale>
        <cfvo type="min"/>
        <cfvo type="max"/>
        <color rgb="FF63BE7B"/>
        <color rgb="FFFFEF9C"/>
      </colorScale>
    </cfRule>
  </conditionalFormatting>
  <conditionalFormatting sqref="C115:Q1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:Q35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60:Q7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9:Q9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2:R5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B2814-8E45-47BB-AF9B-1B4C669AD953}">
  <dimension ref="B2:R58"/>
  <sheetViews>
    <sheetView zoomScale="80" zoomScaleNormal="80" workbookViewId="0">
      <selection activeCell="G34" sqref="G34"/>
    </sheetView>
  </sheetViews>
  <sheetFormatPr defaultColWidth="8.90625" defaultRowHeight="14" x14ac:dyDescent="0.3"/>
  <cols>
    <col min="1" max="1" width="1.6328125" style="12" customWidth="1"/>
    <col min="2" max="3" width="8.90625" style="12"/>
    <col min="4" max="4" width="14.1796875" style="12" customWidth="1"/>
    <col min="5" max="6" width="8.90625" style="12"/>
    <col min="7" max="7" width="15.81640625" style="12" bestFit="1" customWidth="1"/>
    <col min="8" max="16384" width="8.90625" style="12"/>
  </cols>
  <sheetData>
    <row r="2" spans="2:18" x14ac:dyDescent="0.3">
      <c r="B2" s="331" t="s">
        <v>31</v>
      </c>
      <c r="C2" s="331"/>
      <c r="D2" s="331"/>
      <c r="E2" s="331"/>
      <c r="F2" s="331"/>
      <c r="G2" s="331"/>
    </row>
    <row r="3" spans="2:18" x14ac:dyDescent="0.3">
      <c r="B3" s="331"/>
      <c r="C3" s="331"/>
      <c r="D3" s="331"/>
      <c r="E3" s="331"/>
      <c r="F3" s="331"/>
      <c r="G3" s="331"/>
    </row>
    <row r="5" spans="2:18" x14ac:dyDescent="0.3">
      <c r="B5" s="41" t="s">
        <v>32</v>
      </c>
      <c r="C5" s="41"/>
      <c r="D5" s="41"/>
      <c r="E5" s="41"/>
      <c r="F5" s="41"/>
      <c r="G5" s="41"/>
    </row>
    <row r="6" spans="2:18" x14ac:dyDescent="0.3">
      <c r="N6" s="19"/>
      <c r="O6" s="20"/>
      <c r="P6" s="20"/>
    </row>
    <row r="7" spans="2:18" x14ac:dyDescent="0.3">
      <c r="N7" s="21"/>
      <c r="O7" s="20"/>
      <c r="P7" s="20"/>
    </row>
    <row r="8" spans="2:18" x14ac:dyDescent="0.3">
      <c r="B8" s="12" t="s">
        <v>33</v>
      </c>
      <c r="G8" s="30">
        <v>250000</v>
      </c>
      <c r="N8" s="22"/>
      <c r="O8" s="23"/>
      <c r="P8" s="23"/>
    </row>
    <row r="9" spans="2:18" x14ac:dyDescent="0.3">
      <c r="B9" s="13" t="s">
        <v>34</v>
      </c>
      <c r="C9" s="13"/>
      <c r="D9" s="13"/>
      <c r="E9" s="13"/>
      <c r="F9" s="13"/>
      <c r="G9" s="31">
        <v>2000</v>
      </c>
      <c r="N9" s="21"/>
      <c r="O9" s="20"/>
      <c r="P9" s="20"/>
    </row>
    <row r="10" spans="2:18" x14ac:dyDescent="0.3">
      <c r="B10" s="14" t="s">
        <v>35</v>
      </c>
      <c r="C10" s="16"/>
      <c r="D10" s="16"/>
      <c r="E10" s="16"/>
      <c r="F10" s="16"/>
      <c r="G10" s="32">
        <f>+G8/G9</f>
        <v>125</v>
      </c>
      <c r="N10" s="24"/>
      <c r="O10" s="23"/>
      <c r="P10" s="23"/>
    </row>
    <row r="11" spans="2:18" x14ac:dyDescent="0.3">
      <c r="B11" s="13" t="s">
        <v>36</v>
      </c>
      <c r="C11" s="13"/>
      <c r="D11" s="13"/>
      <c r="E11" s="13"/>
      <c r="F11" s="13"/>
      <c r="G11" s="45">
        <v>0.85</v>
      </c>
      <c r="N11" s="25"/>
      <c r="O11" s="20"/>
      <c r="P11" s="20"/>
    </row>
    <row r="12" spans="2:18" x14ac:dyDescent="0.3">
      <c r="B12" s="17" t="s">
        <v>37</v>
      </c>
      <c r="C12" s="17"/>
      <c r="D12" s="17"/>
      <c r="E12" s="17"/>
      <c r="F12" s="17"/>
      <c r="G12" s="34">
        <f>+G11*G10</f>
        <v>106.25</v>
      </c>
      <c r="N12" s="24"/>
      <c r="O12" s="23"/>
      <c r="P12" s="23"/>
    </row>
    <row r="13" spans="2:18" x14ac:dyDescent="0.3">
      <c r="B13" s="13" t="s">
        <v>38</v>
      </c>
      <c r="C13" s="13"/>
      <c r="D13" s="13"/>
      <c r="E13" s="13"/>
      <c r="F13" s="13"/>
      <c r="G13" s="45">
        <v>0.1</v>
      </c>
      <c r="N13" s="20"/>
      <c r="O13" s="19"/>
      <c r="P13" s="20"/>
      <c r="Q13" s="20"/>
      <c r="R13" s="20"/>
    </row>
    <row r="14" spans="2:18" x14ac:dyDescent="0.3">
      <c r="B14" s="12" t="s">
        <v>39</v>
      </c>
      <c r="C14" s="18"/>
      <c r="D14" s="18"/>
      <c r="E14" s="18"/>
      <c r="F14" s="18"/>
      <c r="G14" s="35">
        <f>+G12/G13</f>
        <v>1062.5</v>
      </c>
      <c r="N14" s="19"/>
      <c r="O14" s="21"/>
      <c r="P14" s="20"/>
      <c r="Q14" s="20"/>
      <c r="R14" s="20"/>
    </row>
    <row r="15" spans="2:18" x14ac:dyDescent="0.3">
      <c r="G15" s="36"/>
      <c r="N15" s="19"/>
      <c r="O15" s="22"/>
      <c r="P15" s="23"/>
      <c r="Q15" s="23"/>
      <c r="R15" s="23"/>
    </row>
    <row r="16" spans="2:18" x14ac:dyDescent="0.3">
      <c r="B16" s="12" t="s">
        <v>40</v>
      </c>
      <c r="G16" s="30">
        <v>300000</v>
      </c>
      <c r="N16" s="24"/>
      <c r="O16" s="21"/>
      <c r="P16" s="20"/>
      <c r="Q16" s="20"/>
      <c r="R16" s="20"/>
    </row>
    <row r="17" spans="2:18" x14ac:dyDescent="0.3">
      <c r="B17" s="13" t="s">
        <v>41</v>
      </c>
      <c r="C17" s="13"/>
      <c r="D17" s="13"/>
      <c r="E17" s="13"/>
      <c r="F17" s="13"/>
      <c r="G17" s="33">
        <v>350</v>
      </c>
      <c r="N17" s="20"/>
      <c r="O17" s="24"/>
      <c r="P17" s="23"/>
      <c r="Q17" s="23"/>
      <c r="R17" s="23"/>
    </row>
    <row r="18" spans="2:18" x14ac:dyDescent="0.3">
      <c r="B18" s="15" t="s">
        <v>42</v>
      </c>
      <c r="C18" s="15"/>
      <c r="D18" s="15"/>
      <c r="E18" s="15"/>
      <c r="F18" s="15"/>
      <c r="G18" s="37">
        <f>+G16/G17</f>
        <v>857.14285714285711</v>
      </c>
      <c r="N18" s="24"/>
      <c r="O18" s="19"/>
      <c r="P18" s="20"/>
      <c r="Q18" s="20"/>
      <c r="R18" s="20"/>
    </row>
    <row r="19" spans="2:18" x14ac:dyDescent="0.3">
      <c r="O19" s="21"/>
      <c r="P19" s="20"/>
      <c r="Q19" s="20"/>
      <c r="R19" s="20"/>
    </row>
    <row r="20" spans="2:18" x14ac:dyDescent="0.3">
      <c r="B20" s="38" t="s">
        <v>43</v>
      </c>
      <c r="C20" s="39"/>
      <c r="D20" s="39"/>
      <c r="E20" s="39"/>
      <c r="F20" s="39"/>
      <c r="G20" s="40">
        <f>+G14/G18</f>
        <v>1.2395833333333335</v>
      </c>
      <c r="O20" s="19"/>
      <c r="P20" s="20"/>
      <c r="Q20" s="20"/>
      <c r="R20" s="20"/>
    </row>
    <row r="21" spans="2:18" x14ac:dyDescent="0.3">
      <c r="O21" s="21"/>
      <c r="P21" s="20"/>
      <c r="Q21" s="20"/>
      <c r="R21" s="20"/>
    </row>
    <row r="22" spans="2:18" x14ac:dyDescent="0.3">
      <c r="O22" s="24"/>
      <c r="P22" s="23"/>
      <c r="Q22" s="23"/>
      <c r="R22" s="23"/>
    </row>
    <row r="23" spans="2:18" x14ac:dyDescent="0.3">
      <c r="B23" s="38" t="s">
        <v>44</v>
      </c>
      <c r="C23" s="39"/>
      <c r="D23" s="39"/>
      <c r="E23" s="39"/>
      <c r="F23" s="39"/>
      <c r="G23" s="42"/>
      <c r="O23" s="20"/>
      <c r="P23" s="20"/>
      <c r="Q23" s="20"/>
      <c r="R23" s="20"/>
    </row>
    <row r="24" spans="2:18" x14ac:dyDescent="0.3">
      <c r="O24" s="19"/>
      <c r="P24" s="20"/>
      <c r="Q24" s="20"/>
      <c r="R24" s="20"/>
    </row>
    <row r="25" spans="2:18" x14ac:dyDescent="0.3">
      <c r="B25" s="12" t="s">
        <v>33</v>
      </c>
      <c r="G25" s="30">
        <v>1500000</v>
      </c>
      <c r="O25" s="21"/>
      <c r="P25" s="20"/>
      <c r="Q25" s="20"/>
      <c r="R25" s="20"/>
    </row>
    <row r="26" spans="2:18" x14ac:dyDescent="0.3">
      <c r="B26" s="13" t="s">
        <v>34</v>
      </c>
      <c r="C26" s="13"/>
      <c r="D26" s="13"/>
      <c r="E26" s="13"/>
      <c r="F26" s="13"/>
      <c r="G26" s="27">
        <v>8500</v>
      </c>
      <c r="O26" s="24"/>
      <c r="P26" s="23"/>
      <c r="Q26" s="23"/>
      <c r="R26" s="23"/>
    </row>
    <row r="27" spans="2:18" x14ac:dyDescent="0.3">
      <c r="B27" s="14" t="s">
        <v>35</v>
      </c>
      <c r="C27" s="14"/>
      <c r="D27" s="14"/>
      <c r="E27" s="14"/>
      <c r="F27" s="14"/>
      <c r="G27" s="44">
        <f>+G25/G26</f>
        <v>176.47058823529412</v>
      </c>
      <c r="O27" s="20"/>
      <c r="P27" s="20"/>
      <c r="Q27" s="20"/>
      <c r="R27" s="20"/>
    </row>
    <row r="28" spans="2:18" x14ac:dyDescent="0.3">
      <c r="B28" s="13" t="s">
        <v>36</v>
      </c>
      <c r="C28" s="13"/>
      <c r="D28" s="13"/>
      <c r="E28" s="13"/>
      <c r="F28" s="13"/>
      <c r="G28" s="28">
        <v>0.85</v>
      </c>
      <c r="O28" s="24"/>
      <c r="P28" s="23"/>
      <c r="Q28" s="23"/>
      <c r="R28" s="23"/>
    </row>
    <row r="29" spans="2:18" x14ac:dyDescent="0.3">
      <c r="B29" s="15" t="s">
        <v>37</v>
      </c>
      <c r="C29" s="15"/>
      <c r="D29" s="15"/>
      <c r="E29" s="15"/>
      <c r="F29" s="15"/>
      <c r="G29" s="37">
        <f>+G27*G28</f>
        <v>150</v>
      </c>
      <c r="O29" s="20"/>
      <c r="P29" s="20"/>
      <c r="Q29" s="20"/>
      <c r="R29" s="20"/>
    </row>
    <row r="30" spans="2:18" x14ac:dyDescent="0.3">
      <c r="B30" s="12" t="s">
        <v>45</v>
      </c>
      <c r="G30" s="47">
        <f>1-G31</f>
        <v>0.94</v>
      </c>
      <c r="O30" s="19"/>
      <c r="P30" s="20"/>
      <c r="Q30" s="20"/>
      <c r="R30" s="20"/>
    </row>
    <row r="31" spans="2:18" x14ac:dyDescent="0.3">
      <c r="B31" s="12" t="s">
        <v>46</v>
      </c>
      <c r="G31" s="46">
        <v>0.06</v>
      </c>
      <c r="O31" s="21"/>
      <c r="P31" s="20"/>
      <c r="Q31" s="20"/>
      <c r="R31" s="20"/>
    </row>
    <row r="32" spans="2:18" x14ac:dyDescent="0.3">
      <c r="B32" s="12" t="s">
        <v>47</v>
      </c>
      <c r="G32" s="46">
        <v>0.1</v>
      </c>
      <c r="O32" s="24"/>
      <c r="P32" s="23"/>
      <c r="Q32" s="23"/>
      <c r="R32" s="23"/>
    </row>
    <row r="33" spans="2:18" x14ac:dyDescent="0.3">
      <c r="B33" s="13" t="s">
        <v>48</v>
      </c>
      <c r="C33" s="13"/>
      <c r="D33" s="13"/>
      <c r="E33" s="13"/>
      <c r="F33" s="13"/>
      <c r="G33" s="48">
        <f>+G30/(1+G32-G30)</f>
        <v>5.8749999999999947</v>
      </c>
      <c r="O33" s="20"/>
      <c r="P33" s="20"/>
      <c r="Q33" s="20"/>
      <c r="R33" s="20"/>
    </row>
    <row r="34" spans="2:18" x14ac:dyDescent="0.3">
      <c r="B34" s="18" t="s">
        <v>39</v>
      </c>
      <c r="C34" s="18"/>
      <c r="D34" s="18"/>
      <c r="E34" s="18"/>
      <c r="F34" s="18"/>
      <c r="G34" s="49">
        <f>+G29*G33</f>
        <v>881.2499999999992</v>
      </c>
      <c r="O34" s="19"/>
      <c r="P34" s="20"/>
      <c r="Q34" s="20"/>
      <c r="R34" s="20"/>
    </row>
    <row r="35" spans="2:18" x14ac:dyDescent="0.3">
      <c r="O35" s="19"/>
      <c r="P35" s="20"/>
      <c r="Q35" s="20"/>
      <c r="R35" s="20"/>
    </row>
    <row r="36" spans="2:18" x14ac:dyDescent="0.3">
      <c r="B36" s="12" t="s">
        <v>49</v>
      </c>
      <c r="G36" s="26">
        <v>8</v>
      </c>
      <c r="O36" s="19"/>
      <c r="P36" s="20"/>
      <c r="Q36" s="20"/>
      <c r="R36" s="20"/>
    </row>
    <row r="37" spans="2:18" x14ac:dyDescent="0.3">
      <c r="B37" s="13" t="s">
        <v>50</v>
      </c>
      <c r="C37" s="13"/>
      <c r="D37" s="13"/>
      <c r="E37" s="13"/>
      <c r="F37" s="13"/>
      <c r="G37" s="31">
        <v>60000</v>
      </c>
      <c r="O37" s="20"/>
      <c r="P37" s="20"/>
      <c r="Q37" s="20"/>
      <c r="R37" s="20"/>
    </row>
    <row r="38" spans="2:18" x14ac:dyDescent="0.3">
      <c r="B38" s="15" t="s">
        <v>51</v>
      </c>
      <c r="C38" s="15"/>
      <c r="D38" s="15"/>
      <c r="E38" s="15"/>
      <c r="F38" s="15"/>
      <c r="G38" s="50">
        <f>+G37*G36</f>
        <v>480000</v>
      </c>
      <c r="O38" s="19"/>
      <c r="P38" s="20"/>
      <c r="Q38" s="20"/>
      <c r="R38" s="20"/>
    </row>
    <row r="39" spans="2:18" x14ac:dyDescent="0.3">
      <c r="O39" s="19"/>
      <c r="P39" s="20"/>
      <c r="Q39" s="20"/>
      <c r="R39" s="20"/>
    </row>
    <row r="40" spans="2:18" x14ac:dyDescent="0.3">
      <c r="B40" s="15" t="s">
        <v>52</v>
      </c>
      <c r="C40" s="15"/>
      <c r="D40" s="15"/>
      <c r="E40" s="15"/>
      <c r="F40" s="15"/>
      <c r="G40" s="50">
        <v>100000</v>
      </c>
      <c r="O40" s="19"/>
      <c r="P40" s="20"/>
      <c r="Q40" s="20"/>
      <c r="R40" s="20"/>
    </row>
    <row r="41" spans="2:18" x14ac:dyDescent="0.3">
      <c r="O41" s="24"/>
      <c r="P41" s="23"/>
      <c r="Q41" s="23"/>
      <c r="R41" s="23"/>
    </row>
    <row r="42" spans="2:18" x14ac:dyDescent="0.3">
      <c r="B42" s="12" t="s">
        <v>53</v>
      </c>
      <c r="G42" s="26">
        <v>20000</v>
      </c>
      <c r="O42" s="20"/>
      <c r="P42" s="20"/>
      <c r="Q42" s="20"/>
      <c r="R42" s="20"/>
    </row>
    <row r="43" spans="2:18" x14ac:dyDescent="0.3">
      <c r="B43" s="13" t="s">
        <v>54</v>
      </c>
      <c r="C43" s="13"/>
      <c r="D43" s="13"/>
      <c r="E43" s="13"/>
      <c r="F43" s="13"/>
      <c r="G43" s="52">
        <v>1</v>
      </c>
      <c r="O43" s="24"/>
      <c r="P43" s="23"/>
      <c r="Q43" s="23"/>
      <c r="R43" s="23"/>
    </row>
    <row r="44" spans="2:18" x14ac:dyDescent="0.3">
      <c r="B44" s="15" t="s">
        <v>55</v>
      </c>
      <c r="C44" s="15"/>
      <c r="D44" s="15"/>
      <c r="E44" s="15"/>
      <c r="F44" s="15"/>
      <c r="G44" s="53">
        <f>+G43*G42</f>
        <v>20000</v>
      </c>
      <c r="O44" s="20"/>
      <c r="P44" s="20"/>
      <c r="Q44" s="20"/>
      <c r="R44" s="20"/>
    </row>
    <row r="45" spans="2:18" x14ac:dyDescent="0.3">
      <c r="O45" s="24"/>
      <c r="P45" s="23"/>
      <c r="Q45" s="23"/>
      <c r="R45" s="23"/>
    </row>
    <row r="46" spans="2:18" x14ac:dyDescent="0.3">
      <c r="B46" s="12" t="s">
        <v>56</v>
      </c>
      <c r="G46" s="26">
        <v>80</v>
      </c>
    </row>
    <row r="47" spans="2:18" x14ac:dyDescent="0.3">
      <c r="B47" s="12" t="s">
        <v>57</v>
      </c>
      <c r="G47" s="54">
        <v>0.04</v>
      </c>
    </row>
    <row r="48" spans="2:18" ht="14.5" thickBot="1" x14ac:dyDescent="0.35">
      <c r="B48" s="43" t="s">
        <v>58</v>
      </c>
      <c r="C48" s="43"/>
      <c r="D48" s="43"/>
      <c r="E48" s="43"/>
      <c r="F48" s="43"/>
      <c r="G48" s="55">
        <v>0.02</v>
      </c>
    </row>
    <row r="51" spans="2:7" x14ac:dyDescent="0.3">
      <c r="B51" s="12" t="s">
        <v>59</v>
      </c>
      <c r="G51" s="51">
        <f>+G36*G46</f>
        <v>640</v>
      </c>
    </row>
    <row r="52" spans="2:7" x14ac:dyDescent="0.3">
      <c r="B52" s="12" t="s">
        <v>60</v>
      </c>
      <c r="G52" s="51">
        <f>+G40*G47</f>
        <v>4000</v>
      </c>
    </row>
    <row r="53" spans="2:7" x14ac:dyDescent="0.3">
      <c r="B53" s="13" t="s">
        <v>61</v>
      </c>
      <c r="C53" s="13"/>
      <c r="D53" s="13"/>
      <c r="E53" s="13"/>
      <c r="F53" s="13"/>
      <c r="G53" s="56">
        <f>+G42*G48</f>
        <v>400</v>
      </c>
    </row>
    <row r="54" spans="2:7" x14ac:dyDescent="0.3">
      <c r="B54" s="15" t="s">
        <v>62</v>
      </c>
      <c r="C54" s="15"/>
      <c r="D54" s="15"/>
      <c r="E54" s="15"/>
      <c r="F54" s="15"/>
      <c r="G54" s="57">
        <f>+G51+G52+G53</f>
        <v>5040</v>
      </c>
    </row>
    <row r="56" spans="2:7" x14ac:dyDescent="0.3">
      <c r="B56" s="15" t="s">
        <v>42</v>
      </c>
      <c r="C56" s="15"/>
      <c r="D56" s="15"/>
      <c r="E56" s="15"/>
      <c r="F56" s="15"/>
      <c r="G56" s="29">
        <f>+SUM(G38,G40,G44)/G54</f>
        <v>119.04761904761905</v>
      </c>
    </row>
    <row r="58" spans="2:7" x14ac:dyDescent="0.3">
      <c r="B58" s="58" t="s">
        <v>43</v>
      </c>
      <c r="C58" s="59"/>
      <c r="D58" s="59"/>
      <c r="E58" s="59"/>
      <c r="F58" s="59"/>
      <c r="G58" s="60">
        <f>+G34/G56</f>
        <v>7.4024999999999928</v>
      </c>
    </row>
  </sheetData>
  <mergeCells count="1">
    <mergeCell ref="B2:G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F00BE-2653-4C8E-B988-4696CBA0F4BA}">
  <sheetPr>
    <tabColor rgb="FF00B0F0"/>
  </sheetPr>
  <dimension ref="M6:P7"/>
  <sheetViews>
    <sheetView topLeftCell="H1" workbookViewId="0">
      <selection activeCell="S19" sqref="S19"/>
    </sheetView>
  </sheetViews>
  <sheetFormatPr defaultColWidth="8.90625" defaultRowHeight="12.5" x14ac:dyDescent="0.25"/>
  <cols>
    <col min="1" max="16384" width="8.90625" style="304"/>
  </cols>
  <sheetData>
    <row r="6" spans="13:16" ht="14" x14ac:dyDescent="0.3">
      <c r="P6" s="306" t="s">
        <v>321</v>
      </c>
    </row>
    <row r="7" spans="13:16" ht="14" x14ac:dyDescent="0.3">
      <c r="M7" s="305" t="s">
        <v>320</v>
      </c>
      <c r="P7" s="306" t="s">
        <v>322</v>
      </c>
    </row>
  </sheetData>
  <hyperlinks>
    <hyperlink ref="P6" location="'ARR&amp; Run Rate'!A1" display="ARR &amp; Run Rate" xr:uid="{3FEBE6F6-732F-4615-B626-52E0E1F16965}"/>
    <hyperlink ref="P7" location="' CMRR'!A1" display="CMRR" xr:uid="{B124153F-FC39-4BF7-A5D4-4218A75C95B7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CCD01-89E2-4BA4-83FC-5225FF5B6CE8}">
  <dimension ref="B3:L34"/>
  <sheetViews>
    <sheetView workbookViewId="0">
      <selection activeCell="B3" sqref="B3:E4"/>
    </sheetView>
  </sheetViews>
  <sheetFormatPr defaultColWidth="8.90625" defaultRowHeight="12.5" x14ac:dyDescent="0.25"/>
  <cols>
    <col min="1" max="4" width="8.90625" style="1"/>
    <col min="5" max="5" width="12" style="1" bestFit="1" customWidth="1"/>
    <col min="6" max="6" width="11" style="1" bestFit="1" customWidth="1"/>
    <col min="7" max="7" width="12" style="1" bestFit="1" customWidth="1"/>
    <col min="8" max="8" width="9.453125" style="1" bestFit="1" customWidth="1"/>
    <col min="9" max="9" width="8.90625" style="1"/>
    <col min="10" max="10" width="8.90625" style="1" bestFit="1" customWidth="1"/>
    <col min="11" max="16384" width="8.90625" style="1"/>
  </cols>
  <sheetData>
    <row r="3" spans="2:7" ht="14.4" customHeight="1" x14ac:dyDescent="0.3">
      <c r="B3" s="72" t="s">
        <v>63</v>
      </c>
      <c r="C3" s="72"/>
      <c r="D3" s="72"/>
      <c r="E3" s="332" t="s">
        <v>65</v>
      </c>
    </row>
    <row r="4" spans="2:7" ht="13" x14ac:dyDescent="0.3">
      <c r="B4" s="214" t="s">
        <v>64</v>
      </c>
      <c r="C4" s="214"/>
      <c r="D4" s="214"/>
      <c r="E4" s="333"/>
    </row>
    <row r="6" spans="2:7" x14ac:dyDescent="0.25">
      <c r="B6" s="1" t="s">
        <v>66</v>
      </c>
      <c r="E6" s="61">
        <v>3647</v>
      </c>
    </row>
    <row r="7" spans="2:7" x14ac:dyDescent="0.25">
      <c r="B7" s="4" t="s">
        <v>67</v>
      </c>
      <c r="C7" s="4"/>
      <c r="D7" s="4"/>
      <c r="E7" s="63">
        <v>4</v>
      </c>
    </row>
    <row r="8" spans="2:7" ht="13" x14ac:dyDescent="0.3">
      <c r="B8" s="6" t="s">
        <v>63</v>
      </c>
      <c r="C8" s="6"/>
      <c r="D8" s="6"/>
      <c r="E8" s="62">
        <f>+E7*E6</f>
        <v>14588</v>
      </c>
    </row>
    <row r="12" spans="2:7" ht="13" x14ac:dyDescent="0.3">
      <c r="B12" s="72" t="s">
        <v>33</v>
      </c>
      <c r="C12" s="72"/>
      <c r="D12" s="72"/>
      <c r="E12" s="72"/>
      <c r="F12" s="72"/>
      <c r="G12" s="72"/>
    </row>
    <row r="13" spans="2:7" ht="13" x14ac:dyDescent="0.3">
      <c r="B13" s="214" t="s">
        <v>68</v>
      </c>
      <c r="C13" s="214"/>
      <c r="D13" s="214"/>
      <c r="E13" s="214"/>
      <c r="F13" s="215">
        <v>44562</v>
      </c>
      <c r="G13" s="215">
        <v>44593</v>
      </c>
    </row>
    <row r="15" spans="2:7" x14ac:dyDescent="0.25">
      <c r="B15" s="1" t="s">
        <v>69</v>
      </c>
      <c r="F15" s="65">
        <v>3300</v>
      </c>
      <c r="G15" s="65">
        <v>3800</v>
      </c>
    </row>
    <row r="16" spans="2:7" x14ac:dyDescent="0.25">
      <c r="B16" s="1" t="s">
        <v>70</v>
      </c>
      <c r="D16" s="1" t="s">
        <v>76</v>
      </c>
      <c r="E16" s="64">
        <v>0.06</v>
      </c>
      <c r="F16" s="71">
        <f>+-E16*F20</f>
        <v>-300</v>
      </c>
      <c r="G16" s="71">
        <f>+-E16*G20</f>
        <v>-486</v>
      </c>
    </row>
    <row r="17" spans="2:12" x14ac:dyDescent="0.25">
      <c r="B17" s="4" t="s">
        <v>71</v>
      </c>
      <c r="C17" s="4"/>
      <c r="D17" s="4" t="s">
        <v>77</v>
      </c>
      <c r="E17" s="64">
        <v>0.02</v>
      </c>
      <c r="F17" s="67">
        <f>+E17*F20</f>
        <v>100</v>
      </c>
      <c r="G17" s="67">
        <f>+E17*G20</f>
        <v>162</v>
      </c>
    </row>
    <row r="18" spans="2:12" x14ac:dyDescent="0.25">
      <c r="B18" s="1" t="s">
        <v>72</v>
      </c>
      <c r="F18" s="66">
        <f>+F15+F16+F17</f>
        <v>3100</v>
      </c>
      <c r="G18" s="66">
        <f>+G15+G16+G17</f>
        <v>3476</v>
      </c>
    </row>
    <row r="19" spans="2:12" x14ac:dyDescent="0.25">
      <c r="F19" s="66"/>
      <c r="G19" s="66"/>
    </row>
    <row r="20" spans="2:12" x14ac:dyDescent="0.25">
      <c r="B20" s="1" t="s">
        <v>73</v>
      </c>
      <c r="F20" s="68">
        <v>5000</v>
      </c>
      <c r="G20" s="69">
        <f>+F22</f>
        <v>8100</v>
      </c>
    </row>
    <row r="21" spans="2:12" x14ac:dyDescent="0.25">
      <c r="B21" s="4" t="s">
        <v>74</v>
      </c>
      <c r="C21" s="4"/>
      <c r="D21" s="4"/>
      <c r="E21" s="4"/>
      <c r="F21" s="67">
        <f>+F18</f>
        <v>3100</v>
      </c>
      <c r="G21" s="67">
        <f>+G18</f>
        <v>3476</v>
      </c>
    </row>
    <row r="22" spans="2:12" ht="13" x14ac:dyDescent="0.3">
      <c r="B22" s="6" t="s">
        <v>75</v>
      </c>
      <c r="C22" s="6"/>
      <c r="D22" s="6"/>
      <c r="E22" s="6"/>
      <c r="F22" s="70">
        <f>+F21+F20</f>
        <v>8100</v>
      </c>
      <c r="G22" s="70">
        <f>+G20+G21</f>
        <v>11576</v>
      </c>
    </row>
    <row r="25" spans="2:12" ht="13" x14ac:dyDescent="0.3">
      <c r="B25" s="72" t="s">
        <v>78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</row>
    <row r="26" spans="2:12" x14ac:dyDescent="0.25">
      <c r="H26" s="80" t="s">
        <v>86</v>
      </c>
      <c r="I26" s="80" t="s">
        <v>87</v>
      </c>
      <c r="J26" s="80" t="s">
        <v>88</v>
      </c>
      <c r="K26" s="80" t="s">
        <v>89</v>
      </c>
      <c r="L26" s="80" t="s">
        <v>90</v>
      </c>
    </row>
    <row r="27" spans="2:12" x14ac:dyDescent="0.25">
      <c r="B27" s="1" t="s">
        <v>79</v>
      </c>
      <c r="H27" s="74">
        <v>1000</v>
      </c>
      <c r="I27" s="75">
        <f>+H30</f>
        <v>1020</v>
      </c>
      <c r="J27" s="75">
        <f>+I30</f>
        <v>1040.4000000000001</v>
      </c>
      <c r="K27" s="75">
        <f>+J30</f>
        <v>1061.2080000000001</v>
      </c>
      <c r="L27" s="75">
        <f>+K30</f>
        <v>1082.4321600000001</v>
      </c>
    </row>
    <row r="28" spans="2:12" x14ac:dyDescent="0.25">
      <c r="B28" s="1" t="s">
        <v>80</v>
      </c>
      <c r="E28" s="73" t="s">
        <v>76</v>
      </c>
      <c r="F28" s="64">
        <v>0.02</v>
      </c>
      <c r="H28" s="77">
        <f>+-H27*F28</f>
        <v>-20</v>
      </c>
      <c r="I28" s="77">
        <f>+-I27*F28</f>
        <v>-20.400000000000002</v>
      </c>
      <c r="J28" s="77">
        <f>+-J27*F28</f>
        <v>-20.808000000000003</v>
      </c>
      <c r="K28" s="77">
        <f>+-K27*F28</f>
        <v>-21.224160000000001</v>
      </c>
      <c r="L28" s="77">
        <f>+-L27*F28</f>
        <v>-21.648643200000002</v>
      </c>
    </row>
    <row r="29" spans="2:12" x14ac:dyDescent="0.25">
      <c r="B29" s="4" t="s">
        <v>81</v>
      </c>
      <c r="C29" s="4"/>
      <c r="D29" s="4"/>
      <c r="E29" s="73" t="s">
        <v>83</v>
      </c>
      <c r="F29" s="64">
        <v>0.04</v>
      </c>
      <c r="G29" s="4"/>
      <c r="H29" s="76">
        <f>+F29*H27</f>
        <v>40</v>
      </c>
      <c r="I29" s="76">
        <f>+F29*I27</f>
        <v>40.800000000000004</v>
      </c>
      <c r="J29" s="76">
        <f>+F29*J27</f>
        <v>41.616000000000007</v>
      </c>
      <c r="K29" s="76">
        <f>+F29*K27</f>
        <v>42.448320000000002</v>
      </c>
      <c r="L29" s="76">
        <f>+L27*F29</f>
        <v>43.297286400000004</v>
      </c>
    </row>
    <row r="30" spans="2:12" ht="13" x14ac:dyDescent="0.3">
      <c r="B30" s="1" t="s">
        <v>82</v>
      </c>
      <c r="H30" s="78">
        <f>+H27+H28+H29</f>
        <v>1020</v>
      </c>
      <c r="I30" s="78">
        <f>+I29+I28+I27</f>
        <v>1040.4000000000001</v>
      </c>
      <c r="J30" s="78">
        <f>+J27+J28+J29</f>
        <v>1061.2080000000001</v>
      </c>
      <c r="K30" s="78">
        <f>+K27+K28+K29</f>
        <v>1082.4321600000001</v>
      </c>
      <c r="L30" s="78">
        <f>+L27+L28+L29</f>
        <v>1104.0808032000002</v>
      </c>
    </row>
    <row r="32" spans="2:12" x14ac:dyDescent="0.25">
      <c r="B32" s="1" t="s">
        <v>82</v>
      </c>
      <c r="H32" s="10">
        <f>+H30</f>
        <v>1020</v>
      </c>
      <c r="I32" s="10">
        <f>+I30</f>
        <v>1040.4000000000001</v>
      </c>
      <c r="J32" s="10">
        <f>+J30</f>
        <v>1061.2080000000001</v>
      </c>
      <c r="K32" s="10">
        <f>+K30</f>
        <v>1082.4321600000001</v>
      </c>
      <c r="L32" s="10">
        <f>+L30</f>
        <v>1104.0808032000002</v>
      </c>
    </row>
    <row r="33" spans="2:12" x14ac:dyDescent="0.25">
      <c r="B33" s="4" t="s">
        <v>84</v>
      </c>
      <c r="C33" s="4"/>
      <c r="D33" s="4"/>
      <c r="E33" s="4"/>
      <c r="F33" s="4"/>
      <c r="G33" s="4"/>
      <c r="H33" s="79">
        <v>500</v>
      </c>
      <c r="I33" s="79">
        <v>500</v>
      </c>
      <c r="J33" s="79">
        <f>+I33</f>
        <v>500</v>
      </c>
      <c r="K33" s="79">
        <v>500</v>
      </c>
      <c r="L33" s="79">
        <f>+K33</f>
        <v>500</v>
      </c>
    </row>
    <row r="34" spans="2:12" ht="13" x14ac:dyDescent="0.3">
      <c r="B34" s="6" t="s">
        <v>85</v>
      </c>
      <c r="C34" s="6"/>
      <c r="D34" s="6"/>
      <c r="E34" s="6"/>
      <c r="F34" s="6"/>
      <c r="G34" s="6"/>
      <c r="H34" s="78">
        <f>+H33*H32</f>
        <v>510000</v>
      </c>
      <c r="I34" s="78">
        <f>+I33*I32</f>
        <v>520200.00000000006</v>
      </c>
      <c r="J34" s="78">
        <f>+J33*J32</f>
        <v>530604</v>
      </c>
      <c r="K34" s="78">
        <f>+K32*K33</f>
        <v>541216.08000000007</v>
      </c>
      <c r="L34" s="78">
        <f>+L32*L33</f>
        <v>552040.4016000001</v>
      </c>
    </row>
  </sheetData>
  <mergeCells count="1">
    <mergeCell ref="E3:E4"/>
  </mergeCells>
  <pageMargins left="0.7" right="0.7" top="0.75" bottom="0.75" header="0.3" footer="0.3"/>
  <ignoredErrors>
    <ignoredError sqref="K34 I30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5A651-3E45-45C9-A018-0DB17240500A}">
  <dimension ref="B3:G23"/>
  <sheetViews>
    <sheetView tabSelected="1" topLeftCell="A2" workbookViewId="0">
      <selection activeCell="G24" sqref="G24"/>
    </sheetView>
  </sheetViews>
  <sheetFormatPr defaultColWidth="8.90625" defaultRowHeight="12.5" x14ac:dyDescent="0.25"/>
  <cols>
    <col min="1" max="4" width="8.90625" style="1"/>
    <col min="5" max="5" width="12.453125" style="1" customWidth="1"/>
    <col min="6" max="6" width="8.90625" style="1"/>
    <col min="7" max="7" width="10.08984375" style="1" bestFit="1" customWidth="1"/>
    <col min="8" max="16384" width="8.90625" style="1"/>
  </cols>
  <sheetData>
    <row r="3" spans="2:7" ht="13.25" x14ac:dyDescent="0.25">
      <c r="B3" s="334" t="s">
        <v>227</v>
      </c>
      <c r="C3" s="334"/>
      <c r="D3" s="334"/>
      <c r="E3" s="334"/>
      <c r="F3" s="334"/>
      <c r="G3" s="334"/>
    </row>
    <row r="4" spans="2:7" ht="13.25" x14ac:dyDescent="0.25">
      <c r="B4" s="334"/>
      <c r="C4" s="334"/>
      <c r="D4" s="334"/>
      <c r="E4" s="334"/>
      <c r="F4" s="334"/>
      <c r="G4" s="334"/>
    </row>
    <row r="6" spans="2:7" ht="13.25" x14ac:dyDescent="0.25">
      <c r="B6" s="224" t="s">
        <v>228</v>
      </c>
      <c r="C6" s="124"/>
      <c r="D6" s="124"/>
      <c r="E6" s="124"/>
      <c r="F6" s="124"/>
      <c r="G6" s="239">
        <v>44773</v>
      </c>
    </row>
    <row r="8" spans="2:7" ht="13.25" x14ac:dyDescent="0.25">
      <c r="B8" s="1" t="s">
        <v>229</v>
      </c>
      <c r="G8" s="204">
        <v>2500</v>
      </c>
    </row>
    <row r="9" spans="2:7" ht="13.25" x14ac:dyDescent="0.25">
      <c r="B9" s="1" t="s">
        <v>230</v>
      </c>
      <c r="G9" s="243">
        <v>2</v>
      </c>
    </row>
    <row r="10" spans="2:7" ht="13" x14ac:dyDescent="0.3">
      <c r="B10" s="1" t="s">
        <v>231</v>
      </c>
      <c r="G10" s="101">
        <f>+G8/G9</f>
        <v>1250</v>
      </c>
    </row>
    <row r="11" spans="2:7" ht="13" x14ac:dyDescent="0.3">
      <c r="B11" s="225" t="s">
        <v>232</v>
      </c>
      <c r="C11" s="125"/>
      <c r="D11" s="125"/>
      <c r="E11" s="125"/>
      <c r="F11" s="125"/>
      <c r="G11" s="226">
        <f>+G10/12</f>
        <v>104.16666666666667</v>
      </c>
    </row>
    <row r="13" spans="2:7" ht="13.25" x14ac:dyDescent="0.25">
      <c r="B13" s="1" t="s">
        <v>233</v>
      </c>
      <c r="G13" s="113">
        <v>50</v>
      </c>
    </row>
    <row r="14" spans="2:7" ht="13.25" x14ac:dyDescent="0.25">
      <c r="B14" s="1" t="s">
        <v>234</v>
      </c>
      <c r="G14" s="113">
        <v>5</v>
      </c>
    </row>
    <row r="15" spans="2:7" ht="13.25" x14ac:dyDescent="0.25">
      <c r="B15" s="4" t="s">
        <v>235</v>
      </c>
      <c r="C15" s="4"/>
      <c r="D15" s="4"/>
      <c r="E15" s="4"/>
      <c r="F15" s="4"/>
      <c r="G15" s="244">
        <v>-2</v>
      </c>
    </row>
    <row r="16" spans="2:7" ht="13" x14ac:dyDescent="0.3">
      <c r="B16" s="225" t="s">
        <v>237</v>
      </c>
      <c r="C16" s="125"/>
      <c r="D16" s="125"/>
      <c r="E16" s="125"/>
      <c r="F16" s="125"/>
      <c r="G16" s="247">
        <f>+SUM(G13+G14+G15)</f>
        <v>53</v>
      </c>
    </row>
    <row r="17" spans="2:7" ht="13.25" x14ac:dyDescent="0.25">
      <c r="B17" s="1" t="s">
        <v>236</v>
      </c>
      <c r="G17" s="245">
        <f>+G13+G15</f>
        <v>48</v>
      </c>
    </row>
    <row r="19" spans="2:7" ht="13.25" x14ac:dyDescent="0.25">
      <c r="B19" s="1" t="s">
        <v>238</v>
      </c>
      <c r="G19" s="10">
        <f>+G13*G11</f>
        <v>5208.3333333333339</v>
      </c>
    </row>
    <row r="20" spans="2:7" ht="13.25" x14ac:dyDescent="0.25">
      <c r="B20" s="1" t="s">
        <v>239</v>
      </c>
      <c r="G20" s="10">
        <f>+G14*G11</f>
        <v>520.83333333333337</v>
      </c>
    </row>
    <row r="21" spans="2:7" ht="13.25" x14ac:dyDescent="0.25">
      <c r="B21" s="1" t="s">
        <v>240</v>
      </c>
      <c r="E21" s="1" t="s">
        <v>241</v>
      </c>
      <c r="F21" s="246">
        <v>0.03</v>
      </c>
      <c r="G21" s="10">
        <f>+F21*(G11*G14)</f>
        <v>15.625</v>
      </c>
    </row>
    <row r="22" spans="2:7" ht="13.25" x14ac:dyDescent="0.25">
      <c r="B22" s="4" t="s">
        <v>243</v>
      </c>
      <c r="C22" s="4"/>
      <c r="D22" s="4"/>
      <c r="E22" s="4" t="s">
        <v>242</v>
      </c>
      <c r="F22" s="246">
        <f>+-G22/G19</f>
        <v>3.9999999999999994E-2</v>
      </c>
      <c r="G22" s="248">
        <f>+G15*G11</f>
        <v>-208.33333333333334</v>
      </c>
    </row>
    <row r="23" spans="2:7" ht="13" x14ac:dyDescent="0.3">
      <c r="B23" s="225" t="s">
        <v>244</v>
      </c>
      <c r="C23" s="125"/>
      <c r="D23" s="125"/>
      <c r="E23" s="125"/>
      <c r="F23" s="125"/>
      <c r="G23" s="249">
        <f>+G19+G20+G21+G22</f>
        <v>5536.4583333333339</v>
      </c>
    </row>
  </sheetData>
  <mergeCells count="1">
    <mergeCell ref="B3:G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C1EB1-AEA3-4238-8FCD-5154AFC5B45E}">
  <sheetPr>
    <tabColor rgb="FFFF0000"/>
  </sheetPr>
  <dimension ref="F4:I8"/>
  <sheetViews>
    <sheetView workbookViewId="0">
      <selection activeCell="K12" sqref="K12"/>
    </sheetView>
  </sheetViews>
  <sheetFormatPr defaultColWidth="8.90625" defaultRowHeight="12.5" x14ac:dyDescent="0.25"/>
  <cols>
    <col min="1" max="8" width="8.90625" style="307"/>
    <col min="9" max="9" width="8.90625" style="309"/>
    <col min="10" max="16384" width="8.90625" style="307"/>
  </cols>
  <sheetData>
    <row r="4" spans="6:9" x14ac:dyDescent="0.25">
      <c r="I4" s="308" t="s">
        <v>231</v>
      </c>
    </row>
    <row r="5" spans="6:9" x14ac:dyDescent="0.25">
      <c r="F5" s="307" t="s">
        <v>323</v>
      </c>
      <c r="I5" s="308" t="s">
        <v>229</v>
      </c>
    </row>
    <row r="6" spans="6:9" x14ac:dyDescent="0.25">
      <c r="I6" s="308" t="s">
        <v>255</v>
      </c>
    </row>
    <row r="7" spans="6:9" x14ac:dyDescent="0.25">
      <c r="I7" s="308" t="s">
        <v>35</v>
      </c>
    </row>
    <row r="8" spans="6:9" x14ac:dyDescent="0.25">
      <c r="I8" s="308" t="s">
        <v>324</v>
      </c>
    </row>
  </sheetData>
  <hyperlinks>
    <hyperlink ref="I4" location="ACV!A1" display="Annual Contract Value (ACV)" xr:uid="{E0282894-E8C3-4DB7-BA7A-E79916302DF3}"/>
    <hyperlink ref="I5" location="TCV!A1" display="Total Contract Value (TCV)" xr:uid="{1853E688-6B36-4EA0-B6F1-079A36D55246}"/>
    <hyperlink ref="I6" location="AOV!A1" display="Average Order Value (AOV)" xr:uid="{E7F4D91E-23C7-4376-A887-381C4B9CF9BD}"/>
    <hyperlink ref="I7" location="ARPA!A1" display="Average Revenue Per Account (ARPA)" xr:uid="{E54A12DE-1A56-42AF-9387-C65AEB9348C2}"/>
    <hyperlink ref="I8" location="GMV!A1" display="Gross Merchandise Value " xr:uid="{585F686C-543B-4737-9CFE-E0230B5948FB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6D0BC-7A31-4B15-BD9A-E5C003FC1058}">
  <dimension ref="B3:G13"/>
  <sheetViews>
    <sheetView workbookViewId="0">
      <selection activeCell="E12" sqref="E12:G12"/>
    </sheetView>
  </sheetViews>
  <sheetFormatPr defaultColWidth="8.90625" defaultRowHeight="12.5" x14ac:dyDescent="0.25"/>
  <cols>
    <col min="1" max="4" width="8.90625" style="1"/>
    <col min="5" max="5" width="10.81640625" style="1" bestFit="1" customWidth="1"/>
    <col min="6" max="6" width="11.6328125" style="1" bestFit="1" customWidth="1"/>
    <col min="7" max="7" width="10.90625" style="1" bestFit="1" customWidth="1"/>
    <col min="8" max="16384" width="8.90625" style="1"/>
  </cols>
  <sheetData>
    <row r="3" spans="2:7" ht="13.25" x14ac:dyDescent="0.25">
      <c r="B3" s="335" t="s">
        <v>245</v>
      </c>
      <c r="C3" s="335"/>
      <c r="D3" s="335"/>
      <c r="E3" s="335"/>
      <c r="F3" s="335"/>
      <c r="G3" s="335"/>
    </row>
    <row r="4" spans="2:7" ht="13.25" x14ac:dyDescent="0.25">
      <c r="B4" s="335"/>
      <c r="C4" s="335"/>
      <c r="D4" s="335"/>
      <c r="E4" s="335"/>
      <c r="F4" s="335"/>
      <c r="G4" s="335"/>
    </row>
    <row r="6" spans="2:7" ht="13.25" x14ac:dyDescent="0.25">
      <c r="E6" s="250" t="s">
        <v>246</v>
      </c>
      <c r="F6" s="250" t="s">
        <v>247</v>
      </c>
      <c r="G6" s="250" t="s">
        <v>248</v>
      </c>
    </row>
    <row r="7" spans="2:7" ht="13.25" x14ac:dyDescent="0.25">
      <c r="E7" s="113"/>
      <c r="F7" s="113"/>
      <c r="G7" s="113"/>
    </row>
    <row r="8" spans="2:7" ht="13.25" x14ac:dyDescent="0.25">
      <c r="B8" s="1" t="s">
        <v>229</v>
      </c>
      <c r="E8" s="204">
        <v>22000</v>
      </c>
      <c r="F8" s="204">
        <v>285000</v>
      </c>
      <c r="G8" s="204">
        <v>30000</v>
      </c>
    </row>
    <row r="9" spans="2:7" ht="13.25" x14ac:dyDescent="0.25">
      <c r="B9" s="1" t="s">
        <v>249</v>
      </c>
      <c r="E9" s="173">
        <v>4</v>
      </c>
      <c r="F9" s="173">
        <v>5</v>
      </c>
      <c r="G9" s="173">
        <v>6</v>
      </c>
    </row>
    <row r="12" spans="2:7" ht="13" x14ac:dyDescent="0.3">
      <c r="B12" s="225" t="s">
        <v>231</v>
      </c>
      <c r="C12" s="125"/>
      <c r="D12" s="125"/>
      <c r="E12" s="253">
        <f>+E8/E9</f>
        <v>5500</v>
      </c>
      <c r="F12" s="253">
        <f t="shared" ref="F12:G12" si="0">+F8/F9</f>
        <v>57000</v>
      </c>
      <c r="G12" s="254">
        <f t="shared" si="0"/>
        <v>5000</v>
      </c>
    </row>
    <row r="13" spans="2:7" ht="13.25" x14ac:dyDescent="0.25">
      <c r="B13" s="1" t="s">
        <v>250</v>
      </c>
      <c r="G13" s="251">
        <f>+SUM(E12:G12)/COUNTA(E6:G6)</f>
        <v>22500</v>
      </c>
    </row>
  </sheetData>
  <mergeCells count="1">
    <mergeCell ref="B3:G4"/>
  </mergeCells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63B96-2729-4EFB-99A3-49CEDB0A3F5E}">
  <dimension ref="B2:F11"/>
  <sheetViews>
    <sheetView workbookViewId="0">
      <selection activeCell="I14" sqref="I14"/>
    </sheetView>
  </sheetViews>
  <sheetFormatPr defaultColWidth="8.90625" defaultRowHeight="12.5" x14ac:dyDescent="0.25"/>
  <cols>
    <col min="1" max="4" width="8.90625" style="1"/>
    <col min="5" max="6" width="10.54296875" style="1" bestFit="1" customWidth="1"/>
    <col min="7" max="16384" width="8.90625" style="1"/>
  </cols>
  <sheetData>
    <row r="2" spans="2:6" ht="13.25" x14ac:dyDescent="0.25">
      <c r="B2" s="334" t="s">
        <v>251</v>
      </c>
      <c r="C2" s="334"/>
      <c r="D2" s="334"/>
      <c r="E2" s="334"/>
      <c r="F2" s="334"/>
    </row>
    <row r="3" spans="2:6" ht="13.25" x14ac:dyDescent="0.25">
      <c r="B3" s="334"/>
      <c r="C3" s="334"/>
      <c r="D3" s="334"/>
      <c r="E3" s="334"/>
      <c r="F3" s="334"/>
    </row>
    <row r="4" spans="2:6" ht="13.25" x14ac:dyDescent="0.25">
      <c r="B4" s="334"/>
      <c r="C4" s="334"/>
      <c r="D4" s="334"/>
      <c r="E4" s="334"/>
      <c r="F4" s="334"/>
    </row>
    <row r="6" spans="2:6" ht="13.25" x14ac:dyDescent="0.25">
      <c r="E6" s="256" t="s">
        <v>246</v>
      </c>
      <c r="F6" s="255" t="s">
        <v>247</v>
      </c>
    </row>
    <row r="8" spans="2:6" ht="13.25" x14ac:dyDescent="0.25">
      <c r="B8" s="1" t="s">
        <v>252</v>
      </c>
      <c r="E8" s="242">
        <v>500</v>
      </c>
      <c r="F8" s="242">
        <v>200</v>
      </c>
    </row>
    <row r="9" spans="2:6" ht="13.25" x14ac:dyDescent="0.25">
      <c r="B9" s="1" t="s">
        <v>253</v>
      </c>
      <c r="E9" s="257">
        <v>24</v>
      </c>
      <c r="F9" s="257">
        <v>48</v>
      </c>
    </row>
    <row r="10" spans="2:6" ht="13.25" x14ac:dyDescent="0.25">
      <c r="B10" s="4" t="s">
        <v>254</v>
      </c>
      <c r="C10" s="4"/>
      <c r="D10" s="4"/>
      <c r="E10" s="258">
        <v>400</v>
      </c>
      <c r="F10" s="259">
        <v>0</v>
      </c>
    </row>
    <row r="11" spans="2:6" ht="13" x14ac:dyDescent="0.3">
      <c r="B11" s="260" t="s">
        <v>229</v>
      </c>
      <c r="C11" s="261"/>
      <c r="D11" s="261"/>
      <c r="E11" s="262">
        <f>+E8*E9+E10</f>
        <v>12400</v>
      </c>
      <c r="F11" s="263">
        <f>+F8*F9+F10</f>
        <v>9600</v>
      </c>
    </row>
  </sheetData>
  <mergeCells count="1">
    <mergeCell ref="B2:F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A715F-D1C7-44BA-A421-966148560B49}">
  <dimension ref="B3:F10"/>
  <sheetViews>
    <sheetView workbookViewId="0">
      <selection activeCell="J30" sqref="J30"/>
    </sheetView>
  </sheetViews>
  <sheetFormatPr defaultColWidth="8.90625" defaultRowHeight="12.5" x14ac:dyDescent="0.25"/>
  <cols>
    <col min="1" max="5" width="8.90625" style="1"/>
    <col min="6" max="6" width="10.453125" style="1" bestFit="1" customWidth="1"/>
    <col min="7" max="16384" width="8.90625" style="1"/>
  </cols>
  <sheetData>
    <row r="3" spans="2:6" ht="13.25" x14ac:dyDescent="0.25">
      <c r="B3" s="336" t="s">
        <v>255</v>
      </c>
      <c r="C3" s="336"/>
      <c r="D3" s="336"/>
      <c r="E3" s="336"/>
      <c r="F3" s="336"/>
    </row>
    <row r="4" spans="2:6" ht="13.25" x14ac:dyDescent="0.25">
      <c r="B4" s="336"/>
      <c r="C4" s="336"/>
      <c r="D4" s="336"/>
      <c r="E4" s="336"/>
      <c r="F4" s="336"/>
    </row>
    <row r="6" spans="2:6" ht="13.25" x14ac:dyDescent="0.25">
      <c r="B6" s="128" t="s">
        <v>255</v>
      </c>
      <c r="C6" s="240"/>
      <c r="D6" s="240"/>
      <c r="E6" s="240"/>
      <c r="F6" s="241">
        <v>2023</v>
      </c>
    </row>
    <row r="8" spans="2:6" ht="13.25" x14ac:dyDescent="0.25">
      <c r="B8" s="1" t="s">
        <v>256</v>
      </c>
      <c r="F8" s="74">
        <v>30000</v>
      </c>
    </row>
    <row r="9" spans="2:6" ht="13.25" x14ac:dyDescent="0.25">
      <c r="B9" s="4" t="s">
        <v>257</v>
      </c>
      <c r="C9" s="4"/>
      <c r="D9" s="4"/>
      <c r="E9" s="4"/>
      <c r="F9" s="114">
        <v>40</v>
      </c>
    </row>
    <row r="10" spans="2:6" ht="13" x14ac:dyDescent="0.3">
      <c r="B10" s="225" t="s">
        <v>255</v>
      </c>
      <c r="C10" s="125"/>
      <c r="D10" s="125"/>
      <c r="E10" s="125"/>
      <c r="F10" s="163">
        <f>+F8/F9</f>
        <v>750</v>
      </c>
    </row>
  </sheetData>
  <mergeCells count="1">
    <mergeCell ref="B3:F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B84A-8746-43AD-A7E0-CFDC005ADAE5}">
  <dimension ref="B3:G17"/>
  <sheetViews>
    <sheetView workbookViewId="0">
      <selection activeCell="L14" sqref="L14"/>
    </sheetView>
  </sheetViews>
  <sheetFormatPr defaultColWidth="8.90625" defaultRowHeight="12.5" x14ac:dyDescent="0.25"/>
  <cols>
    <col min="1" max="4" width="8.90625" style="1"/>
    <col min="5" max="5" width="10.08984375" style="1" bestFit="1" customWidth="1"/>
    <col min="6" max="7" width="13.08984375" style="1" bestFit="1" customWidth="1"/>
    <col min="8" max="16384" width="8.90625" style="1"/>
  </cols>
  <sheetData>
    <row r="3" spans="2:7" ht="13.25" x14ac:dyDescent="0.25">
      <c r="B3" s="336" t="s">
        <v>35</v>
      </c>
      <c r="C3" s="336"/>
      <c r="D3" s="336"/>
      <c r="E3" s="336"/>
      <c r="F3" s="336"/>
      <c r="G3" s="336"/>
    </row>
    <row r="4" spans="2:7" ht="13.25" x14ac:dyDescent="0.25">
      <c r="B4" s="336"/>
      <c r="C4" s="336"/>
      <c r="D4" s="336"/>
      <c r="E4" s="336"/>
      <c r="F4" s="336"/>
      <c r="G4" s="336"/>
    </row>
    <row r="5" spans="2:7" ht="13.25" x14ac:dyDescent="0.25">
      <c r="F5" s="265">
        <v>44927</v>
      </c>
      <c r="G5" s="264">
        <v>44958</v>
      </c>
    </row>
    <row r="7" spans="2:7" ht="13.25" x14ac:dyDescent="0.25">
      <c r="B7" s="1" t="s">
        <v>258</v>
      </c>
      <c r="F7" s="123">
        <v>20000</v>
      </c>
      <c r="G7" s="97">
        <f>+F7</f>
        <v>20000</v>
      </c>
    </row>
    <row r="8" spans="2:7" ht="13.25" x14ac:dyDescent="0.25">
      <c r="B8" s="1" t="s">
        <v>259</v>
      </c>
      <c r="F8" s="123">
        <v>750</v>
      </c>
      <c r="G8" s="97">
        <f>+F8</f>
        <v>750</v>
      </c>
    </row>
    <row r="11" spans="2:7" ht="13.25" x14ac:dyDescent="0.25">
      <c r="B11" s="1" t="s">
        <v>260</v>
      </c>
      <c r="F11" s="266">
        <v>300000</v>
      </c>
      <c r="G11" s="266">
        <v>450000</v>
      </c>
    </row>
    <row r="12" spans="2:7" ht="13.25" x14ac:dyDescent="0.25">
      <c r="B12" s="4" t="s">
        <v>261</v>
      </c>
      <c r="C12" s="4"/>
      <c r="D12" s="4"/>
      <c r="E12" s="4"/>
      <c r="F12" s="267">
        <v>20000</v>
      </c>
      <c r="G12" s="267">
        <v>30000</v>
      </c>
    </row>
    <row r="13" spans="2:7" ht="13" x14ac:dyDescent="0.3">
      <c r="B13" s="6" t="s">
        <v>264</v>
      </c>
      <c r="F13" s="268">
        <f>+F11+F12</f>
        <v>320000</v>
      </c>
      <c r="G13" s="268">
        <f>+G11+G12</f>
        <v>480000</v>
      </c>
    </row>
    <row r="16" spans="2:7" ht="13" x14ac:dyDescent="0.3">
      <c r="B16" s="269" t="s">
        <v>262</v>
      </c>
      <c r="C16" s="115"/>
      <c r="D16" s="115"/>
      <c r="E16" s="115"/>
      <c r="F16" s="272">
        <f>+F11/F7</f>
        <v>15</v>
      </c>
      <c r="G16" s="273">
        <f>+G11/G7</f>
        <v>22.5</v>
      </c>
    </row>
    <row r="17" spans="2:7" ht="13" x14ac:dyDescent="0.3">
      <c r="B17" s="270" t="s">
        <v>263</v>
      </c>
      <c r="C17" s="271"/>
      <c r="D17" s="271"/>
      <c r="E17" s="271"/>
      <c r="F17" s="274">
        <f>+F12/F8</f>
        <v>26.666666666666668</v>
      </c>
      <c r="G17" s="275">
        <f>+G12/G8</f>
        <v>40</v>
      </c>
    </row>
  </sheetData>
  <mergeCells count="1">
    <mergeCell ref="B3:G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38B52-F57E-4A51-BE69-41891F9EC3A0}">
  <dimension ref="B2:F19"/>
  <sheetViews>
    <sheetView zoomScale="97" workbookViewId="0">
      <selection activeCell="G20" sqref="G20"/>
    </sheetView>
  </sheetViews>
  <sheetFormatPr defaultColWidth="8.90625" defaultRowHeight="13" x14ac:dyDescent="0.3"/>
  <cols>
    <col min="1" max="5" width="8.90625" style="276"/>
    <col min="6" max="6" width="9.6328125" style="276" bestFit="1" customWidth="1"/>
    <col min="7" max="16384" width="8.90625" style="276"/>
  </cols>
  <sheetData>
    <row r="2" spans="2:6" x14ac:dyDescent="0.3">
      <c r="B2" s="336" t="s">
        <v>265</v>
      </c>
      <c r="C2" s="336"/>
      <c r="D2" s="336"/>
      <c r="E2" s="336"/>
      <c r="F2" s="336"/>
    </row>
    <row r="3" spans="2:6" x14ac:dyDescent="0.3">
      <c r="B3" s="336"/>
      <c r="C3" s="336"/>
      <c r="D3" s="336"/>
      <c r="E3" s="336"/>
      <c r="F3" s="336"/>
    </row>
    <row r="5" spans="2:6" x14ac:dyDescent="0.3">
      <c r="B5" s="4" t="s">
        <v>228</v>
      </c>
      <c r="C5" s="4"/>
      <c r="D5" s="4"/>
      <c r="E5" s="4"/>
      <c r="F5" s="4">
        <v>2023</v>
      </c>
    </row>
    <row r="6" spans="2:6" x14ac:dyDescent="0.3">
      <c r="B6" s="1"/>
      <c r="C6" s="1"/>
      <c r="D6" s="1"/>
      <c r="E6" s="1"/>
      <c r="F6" s="1"/>
    </row>
    <row r="7" spans="2:6" x14ac:dyDescent="0.3">
      <c r="B7" s="278" t="s">
        <v>266</v>
      </c>
      <c r="C7" s="278"/>
      <c r="D7" s="277"/>
      <c r="E7" s="277"/>
      <c r="F7" s="277"/>
    </row>
    <row r="8" spans="2:6" x14ac:dyDescent="0.3">
      <c r="B8" s="1" t="s">
        <v>267</v>
      </c>
      <c r="C8" s="1"/>
      <c r="D8" s="1"/>
      <c r="E8" s="1"/>
      <c r="F8" s="204">
        <v>30</v>
      </c>
    </row>
    <row r="9" spans="2:6" x14ac:dyDescent="0.3">
      <c r="B9" s="4" t="s">
        <v>268</v>
      </c>
      <c r="C9" s="4"/>
      <c r="D9" s="4"/>
      <c r="E9" s="4"/>
      <c r="F9" s="279">
        <v>80</v>
      </c>
    </row>
    <row r="10" spans="2:6" x14ac:dyDescent="0.3">
      <c r="B10" s="225" t="s">
        <v>269</v>
      </c>
      <c r="C10" s="125"/>
      <c r="D10" s="125"/>
      <c r="E10" s="125"/>
      <c r="F10" s="252">
        <f>+F8*F9</f>
        <v>2400</v>
      </c>
    </row>
    <row r="11" spans="2:6" x14ac:dyDescent="0.3">
      <c r="B11" s="1"/>
      <c r="C11" s="1"/>
      <c r="D11" s="1"/>
      <c r="E11" s="1"/>
      <c r="F11" s="1"/>
    </row>
    <row r="12" spans="2:6" x14ac:dyDescent="0.3">
      <c r="B12" s="277" t="s">
        <v>270</v>
      </c>
      <c r="C12" s="277"/>
      <c r="D12" s="1"/>
      <c r="E12" s="1"/>
      <c r="F12" s="212">
        <v>0.2</v>
      </c>
    </row>
    <row r="13" spans="2:6" x14ac:dyDescent="0.3">
      <c r="B13" s="1"/>
      <c r="C13" s="1"/>
      <c r="D13" s="1"/>
      <c r="E13" s="1"/>
      <c r="F13" s="1"/>
    </row>
    <row r="14" spans="2:6" x14ac:dyDescent="0.3">
      <c r="B14" s="278" t="s">
        <v>271</v>
      </c>
      <c r="C14" s="278"/>
      <c r="D14" s="1"/>
      <c r="E14" s="1"/>
      <c r="F14" s="1"/>
    </row>
    <row r="15" spans="2:6" x14ac:dyDescent="0.3">
      <c r="B15" s="1" t="s">
        <v>266</v>
      </c>
      <c r="C15" s="1"/>
      <c r="D15" s="1"/>
      <c r="E15" s="1"/>
      <c r="F15" s="251">
        <f>+(1-F12)*F10</f>
        <v>1920</v>
      </c>
    </row>
    <row r="16" spans="2:6" x14ac:dyDescent="0.3">
      <c r="B16" s="1" t="s">
        <v>272</v>
      </c>
      <c r="C16" s="1"/>
      <c r="D16" s="1"/>
      <c r="E16" s="1"/>
      <c r="F16" s="251">
        <f>+F10*F12</f>
        <v>480</v>
      </c>
    </row>
    <row r="17" spans="2:6" x14ac:dyDescent="0.3">
      <c r="B17" s="1"/>
      <c r="C17" s="1"/>
      <c r="D17" s="1"/>
      <c r="E17" s="1"/>
      <c r="F17" s="1"/>
    </row>
    <row r="18" spans="2:6" x14ac:dyDescent="0.3">
      <c r="B18" s="1"/>
      <c r="C18" s="1"/>
      <c r="D18" s="1"/>
      <c r="E18" s="1"/>
      <c r="F18" s="1"/>
    </row>
    <row r="19" spans="2:6" x14ac:dyDescent="0.3">
      <c r="B19" s="1"/>
      <c r="C19" s="1"/>
      <c r="D19" s="1"/>
      <c r="E19" s="1"/>
      <c r="F19" s="1"/>
    </row>
  </sheetData>
  <mergeCells count="1">
    <mergeCell ref="B2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A22F1-E1DA-4203-B80F-99E9B82F2F49}">
  <sheetPr>
    <tabColor rgb="FFC00000"/>
  </sheetPr>
  <dimension ref="C5:J11"/>
  <sheetViews>
    <sheetView workbookViewId="0">
      <selection activeCell="M16" sqref="M16"/>
    </sheetView>
  </sheetViews>
  <sheetFormatPr defaultColWidth="8.90625" defaultRowHeight="14.5" x14ac:dyDescent="0.35"/>
  <cols>
    <col min="1" max="9" width="8.90625" style="150"/>
    <col min="10" max="10" width="8.90625" style="311"/>
    <col min="11" max="16384" width="8.90625" style="150"/>
  </cols>
  <sheetData>
    <row r="5" spans="3:10" x14ac:dyDescent="0.35">
      <c r="J5" s="310" t="s">
        <v>21</v>
      </c>
    </row>
    <row r="6" spans="3:10" x14ac:dyDescent="0.35">
      <c r="J6" s="310" t="s">
        <v>316</v>
      </c>
    </row>
    <row r="7" spans="3:10" x14ac:dyDescent="0.35">
      <c r="C7" s="318" t="s">
        <v>187</v>
      </c>
      <c r="D7" s="318"/>
      <c r="E7" s="318"/>
      <c r="F7" s="318"/>
      <c r="G7" s="318"/>
      <c r="H7" s="318"/>
      <c r="J7" s="310" t="s">
        <v>317</v>
      </c>
    </row>
    <row r="8" spans="3:10" x14ac:dyDescent="0.35">
      <c r="C8" s="318"/>
      <c r="D8" s="318"/>
      <c r="E8" s="318"/>
      <c r="F8" s="318"/>
      <c r="G8" s="318"/>
      <c r="H8" s="318"/>
      <c r="J8" s="310" t="s">
        <v>177</v>
      </c>
    </row>
    <row r="9" spans="3:10" x14ac:dyDescent="0.35">
      <c r="C9" s="318"/>
      <c r="D9" s="318"/>
      <c r="E9" s="318"/>
      <c r="F9" s="318"/>
      <c r="G9" s="318"/>
      <c r="H9" s="318"/>
      <c r="J9" s="310" t="s">
        <v>318</v>
      </c>
    </row>
    <row r="10" spans="3:10" x14ac:dyDescent="0.35">
      <c r="J10" s="310" t="s">
        <v>319</v>
      </c>
    </row>
    <row r="11" spans="3:10" x14ac:dyDescent="0.35">
      <c r="J11" s="310" t="s">
        <v>215</v>
      </c>
    </row>
  </sheetData>
  <mergeCells count="1">
    <mergeCell ref="C7:H9"/>
  </mergeCells>
  <hyperlinks>
    <hyperlink ref="J5" location="'LTV CAC'!A1" display="LTV:CAC" xr:uid="{4049C05E-8D09-442E-BE16-2309E25E5DBA}"/>
    <hyperlink ref="J6" location="' Customer Lifetime Value (CLV)'!A1" display="Customer Lifetime Value" xr:uid="{ED71B364-52C5-48AE-9BA8-1F354D696C47}"/>
    <hyperlink ref="J7" location="' Net revenue Retention (NRR)'!A1" display="Net Revenue Retention" xr:uid="{2ADCFAA7-C792-4868-9910-B81C92BA8EC3}"/>
    <hyperlink ref="J8" location="'Gross Revenue Return'!A1" display="Gross Revenue Retention" xr:uid="{3E06389F-4237-4C01-92FC-A9C0E7713EB7}"/>
    <hyperlink ref="J9" location="'Gross Revenue Return'!A1" display="CAC Payback" xr:uid="{80B8EA0C-1E8D-4E48-8283-F782222BB0F4}"/>
    <hyperlink ref="J10" location="' Bookings &amp; Billings'!A1" display="Booking &amp;Billings" xr:uid="{46AB9C57-A72D-4F89-968B-C1996A964E00}"/>
    <hyperlink ref="J11" location="' Cost Per Lead (CPL)'!A1" display="Cost Per Lead (CPL)" xr:uid="{AEDF53E6-622D-4FF9-9425-2209212D9226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7B7C2-D2FD-4E7B-99F2-A206DA3D5CFC}">
  <sheetPr>
    <tabColor theme="9" tint="-0.499984740745262"/>
  </sheetPr>
  <dimension ref="F4:I8"/>
  <sheetViews>
    <sheetView workbookViewId="0">
      <selection activeCell="N12" sqref="N12"/>
    </sheetView>
  </sheetViews>
  <sheetFormatPr defaultColWidth="8.90625" defaultRowHeight="14.5" x14ac:dyDescent="0.35"/>
  <cols>
    <col min="1" max="5" width="8.90625" style="303"/>
    <col min="6" max="9" width="8.90625" style="312"/>
    <col min="10" max="16384" width="8.90625" style="303"/>
  </cols>
  <sheetData>
    <row r="4" spans="6:8" x14ac:dyDescent="0.35">
      <c r="H4" s="313" t="s">
        <v>22</v>
      </c>
    </row>
    <row r="5" spans="6:8" x14ac:dyDescent="0.35">
      <c r="H5" s="313" t="s">
        <v>298</v>
      </c>
    </row>
    <row r="6" spans="6:8" x14ac:dyDescent="0.35">
      <c r="F6" s="312" t="s">
        <v>22</v>
      </c>
      <c r="H6" s="313" t="s">
        <v>309</v>
      </c>
    </row>
    <row r="7" spans="6:8" x14ac:dyDescent="0.35">
      <c r="H7" s="313" t="s">
        <v>302</v>
      </c>
    </row>
    <row r="8" spans="6:8" x14ac:dyDescent="0.35">
      <c r="H8" s="313" t="s">
        <v>282</v>
      </c>
    </row>
  </sheetData>
  <hyperlinks>
    <hyperlink ref="H4:H8" location="'Churn Rate Calculation'!A1" display="Churn Rate" xr:uid="{EE5E3BA6-3265-4027-820D-8DED3D80187C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45C2A-3444-4A8D-B6F2-FA3E35097FF2}">
  <dimension ref="B2:I99"/>
  <sheetViews>
    <sheetView topLeftCell="A19" workbookViewId="0">
      <selection activeCell="B2" sqref="B2:I4"/>
    </sheetView>
  </sheetViews>
  <sheetFormatPr defaultColWidth="8.90625" defaultRowHeight="12.5" x14ac:dyDescent="0.25"/>
  <cols>
    <col min="1" max="1" width="8.90625" style="1"/>
    <col min="2" max="2" width="42.453125" style="1" customWidth="1"/>
    <col min="3" max="5" width="9.453125" style="1" bestFit="1" customWidth="1"/>
    <col min="6" max="6" width="12.453125" style="1" bestFit="1" customWidth="1"/>
    <col min="7" max="9" width="9.453125" style="1" bestFit="1" customWidth="1"/>
    <col min="10" max="16384" width="8.90625" style="1"/>
  </cols>
  <sheetData>
    <row r="2" spans="2:9" ht="13.25" x14ac:dyDescent="0.25">
      <c r="B2" s="336" t="s">
        <v>115</v>
      </c>
      <c r="C2" s="336"/>
      <c r="D2" s="336"/>
      <c r="E2" s="336"/>
      <c r="F2" s="336"/>
      <c r="G2" s="336"/>
      <c r="H2" s="336"/>
      <c r="I2" s="336"/>
    </row>
    <row r="3" spans="2:9" ht="13.25" x14ac:dyDescent="0.25">
      <c r="B3" s="336"/>
      <c r="C3" s="336"/>
      <c r="D3" s="336"/>
      <c r="E3" s="336"/>
      <c r="F3" s="336"/>
      <c r="G3" s="336"/>
      <c r="H3" s="336"/>
      <c r="I3" s="336"/>
    </row>
    <row r="4" spans="2:9" ht="13.25" x14ac:dyDescent="0.25">
      <c r="B4" s="336"/>
      <c r="C4" s="336"/>
      <c r="D4" s="336"/>
      <c r="E4" s="336"/>
      <c r="F4" s="336"/>
      <c r="G4" s="336"/>
      <c r="H4" s="336"/>
      <c r="I4" s="336"/>
    </row>
    <row r="6" spans="2:9" ht="13" x14ac:dyDescent="0.3">
      <c r="B6" s="103" t="s">
        <v>116</v>
      </c>
      <c r="C6" s="104"/>
      <c r="D6" s="104"/>
      <c r="E6" s="105" t="s">
        <v>117</v>
      </c>
      <c r="F6" s="105" t="s">
        <v>118</v>
      </c>
      <c r="G6" s="105" t="s">
        <v>119</v>
      </c>
      <c r="H6" s="105" t="s">
        <v>120</v>
      </c>
      <c r="I6" s="105" t="s">
        <v>124</v>
      </c>
    </row>
    <row r="8" spans="2:9" ht="13.25" x14ac:dyDescent="0.25">
      <c r="B8" s="1" t="s">
        <v>121</v>
      </c>
      <c r="E8" s="106">
        <v>350</v>
      </c>
      <c r="F8" s="97">
        <f>+E11</f>
        <v>367.5</v>
      </c>
      <c r="G8" s="97">
        <f>+F11</f>
        <v>385.875</v>
      </c>
      <c r="H8" s="97">
        <f>+G11</f>
        <v>405.16875000000005</v>
      </c>
      <c r="I8" s="97">
        <f>+H11</f>
        <v>425.4271875</v>
      </c>
    </row>
    <row r="9" spans="2:9" ht="13" x14ac:dyDescent="0.3">
      <c r="B9" s="1" t="s">
        <v>122</v>
      </c>
      <c r="D9" s="109">
        <v>0.15</v>
      </c>
      <c r="E9" s="97">
        <f>+E8*D$9</f>
        <v>52.5</v>
      </c>
      <c r="F9" s="97">
        <f>+F8*$D$9</f>
        <v>55.125</v>
      </c>
      <c r="G9" s="97">
        <f t="shared" ref="G9:I9" si="0">+G8*$D$9</f>
        <v>57.881249999999994</v>
      </c>
      <c r="H9" s="97">
        <f t="shared" si="0"/>
        <v>60.775312500000005</v>
      </c>
      <c r="I9" s="97">
        <f t="shared" si="0"/>
        <v>63.814078124999995</v>
      </c>
    </row>
    <row r="10" spans="2:9" ht="13" x14ac:dyDescent="0.3">
      <c r="B10" s="4" t="s">
        <v>123</v>
      </c>
      <c r="C10" s="4"/>
      <c r="D10" s="109">
        <v>0.1</v>
      </c>
      <c r="E10" s="76">
        <f>+D10*E$8</f>
        <v>35</v>
      </c>
      <c r="F10" s="76">
        <f>+F8*$D$10</f>
        <v>36.75</v>
      </c>
      <c r="G10" s="76">
        <f t="shared" ref="G10:I10" si="1">+G8*$D$10</f>
        <v>38.587500000000006</v>
      </c>
      <c r="H10" s="76">
        <f t="shared" si="1"/>
        <v>40.516875000000006</v>
      </c>
      <c r="I10" s="76">
        <f t="shared" si="1"/>
        <v>42.542718750000006</v>
      </c>
    </row>
    <row r="11" spans="2:9" ht="13" x14ac:dyDescent="0.3">
      <c r="B11" s="107" t="s">
        <v>125</v>
      </c>
      <c r="C11" s="107"/>
      <c r="D11" s="107"/>
      <c r="E11" s="108">
        <f>+E8+E9-E10</f>
        <v>367.5</v>
      </c>
      <c r="F11" s="108">
        <f t="shared" ref="F11:I11" si="2">+F8+F9-F10</f>
        <v>385.875</v>
      </c>
      <c r="G11" s="108">
        <f t="shared" si="2"/>
        <v>405.16875000000005</v>
      </c>
      <c r="H11" s="108">
        <f t="shared" si="2"/>
        <v>425.4271875</v>
      </c>
      <c r="I11" s="108">
        <f t="shared" si="2"/>
        <v>446.69854687499998</v>
      </c>
    </row>
    <row r="12" spans="2:9" ht="13.25" x14ac:dyDescent="0.25">
      <c r="E12" s="97"/>
      <c r="F12" s="97"/>
      <c r="G12" s="97"/>
      <c r="H12" s="97"/>
      <c r="I12" s="97"/>
    </row>
    <row r="13" spans="2:9" ht="13.25" x14ac:dyDescent="0.25">
      <c r="B13" s="1" t="s">
        <v>126</v>
      </c>
      <c r="E13" s="106">
        <v>20</v>
      </c>
      <c r="F13" s="106">
        <v>20</v>
      </c>
      <c r="G13" s="106">
        <v>20</v>
      </c>
      <c r="H13" s="106">
        <v>20</v>
      </c>
      <c r="I13" s="106">
        <v>20</v>
      </c>
    </row>
    <row r="14" spans="2:9" ht="13.25" x14ac:dyDescent="0.25">
      <c r="B14" s="4" t="s">
        <v>127</v>
      </c>
      <c r="C14" s="4"/>
      <c r="D14" s="4"/>
      <c r="E14" s="76">
        <f>+AVERAGE(E8,E11)</f>
        <v>358.75</v>
      </c>
      <c r="F14" s="76">
        <f t="shared" ref="F14:I14" si="3">+AVERAGE(F8,F11)</f>
        <v>376.6875</v>
      </c>
      <c r="G14" s="76">
        <f t="shared" si="3"/>
        <v>395.52187500000002</v>
      </c>
      <c r="H14" s="76">
        <f t="shared" si="3"/>
        <v>415.29796875</v>
      </c>
      <c r="I14" s="76">
        <f t="shared" si="3"/>
        <v>436.06286718749999</v>
      </c>
    </row>
    <row r="15" spans="2:9" ht="13" x14ac:dyDescent="0.3">
      <c r="B15" s="96" t="s">
        <v>128</v>
      </c>
      <c r="C15" s="96"/>
      <c r="D15" s="96"/>
      <c r="E15" s="111">
        <f>+E14*E13</f>
        <v>7175</v>
      </c>
      <c r="F15" s="111">
        <f t="shared" ref="F15:I15" si="4">+F14*F13</f>
        <v>7533.75</v>
      </c>
      <c r="G15" s="111">
        <f t="shared" si="4"/>
        <v>7910.4375</v>
      </c>
      <c r="H15" s="111">
        <f t="shared" si="4"/>
        <v>8305.9593750000004</v>
      </c>
      <c r="I15" s="111">
        <f t="shared" si="4"/>
        <v>8721.2573437499996</v>
      </c>
    </row>
    <row r="18" spans="2:9" ht="13.25" x14ac:dyDescent="0.25">
      <c r="B18" s="336" t="s">
        <v>273</v>
      </c>
      <c r="C18" s="336"/>
      <c r="D18" s="336"/>
      <c r="E18" s="336"/>
      <c r="F18" s="336"/>
      <c r="G18" s="336"/>
      <c r="H18" s="336"/>
      <c r="I18" s="336"/>
    </row>
    <row r="19" spans="2:9" ht="13.25" x14ac:dyDescent="0.25">
      <c r="B19" s="336"/>
      <c r="C19" s="336"/>
      <c r="D19" s="336"/>
      <c r="E19" s="336"/>
      <c r="F19" s="336"/>
      <c r="G19" s="336"/>
      <c r="H19" s="336"/>
      <c r="I19" s="336"/>
    </row>
    <row r="21" spans="2:9" ht="13.25" x14ac:dyDescent="0.25">
      <c r="B21" s="4" t="s">
        <v>274</v>
      </c>
      <c r="C21" s="4"/>
      <c r="D21" s="4"/>
      <c r="E21" s="4"/>
      <c r="F21" s="4"/>
      <c r="G21" s="4"/>
      <c r="H21" s="339" t="s">
        <v>275</v>
      </c>
      <c r="I21" s="339"/>
    </row>
    <row r="23" spans="2:9" ht="13.25" x14ac:dyDescent="0.25">
      <c r="B23" s="1" t="s">
        <v>180</v>
      </c>
      <c r="H23" s="340">
        <v>500</v>
      </c>
      <c r="I23" s="340"/>
    </row>
    <row r="24" spans="2:9" ht="13.25" x14ac:dyDescent="0.25">
      <c r="B24" s="1" t="s">
        <v>276</v>
      </c>
      <c r="F24" s="1" t="s">
        <v>242</v>
      </c>
      <c r="G24" s="280">
        <f>+D30</f>
        <v>0.33333333333333331</v>
      </c>
      <c r="H24" s="341">
        <f>+-H23*G24</f>
        <v>-166.66666666666666</v>
      </c>
      <c r="I24" s="342"/>
    </row>
    <row r="25" spans="2:9" ht="13.25" x14ac:dyDescent="0.25">
      <c r="B25" s="4" t="s">
        <v>174</v>
      </c>
      <c r="C25" s="4"/>
      <c r="D25" s="4"/>
      <c r="E25" s="4"/>
      <c r="F25" s="4" t="s">
        <v>277</v>
      </c>
      <c r="G25" s="280">
        <v>0.06</v>
      </c>
      <c r="H25" s="337">
        <f>+H23*G25</f>
        <v>30</v>
      </c>
      <c r="I25" s="338"/>
    </row>
    <row r="26" spans="2:9" ht="13" x14ac:dyDescent="0.3">
      <c r="B26" s="225" t="s">
        <v>278</v>
      </c>
      <c r="C26" s="125"/>
      <c r="D26" s="125"/>
      <c r="E26" s="125"/>
      <c r="F26" s="125"/>
      <c r="G26" s="125"/>
      <c r="H26" s="125"/>
      <c r="I26" s="282">
        <f>+H23-H24+H25</f>
        <v>696.66666666666663</v>
      </c>
    </row>
    <row r="28" spans="2:9" ht="13.25" x14ac:dyDescent="0.25">
      <c r="B28" s="1" t="s">
        <v>280</v>
      </c>
      <c r="D28" s="174">
        <f>+H23*12</f>
        <v>6000</v>
      </c>
    </row>
    <row r="29" spans="2:9" ht="13.25" x14ac:dyDescent="0.25">
      <c r="B29" s="1" t="s">
        <v>279</v>
      </c>
      <c r="D29" s="174">
        <v>2000</v>
      </c>
    </row>
    <row r="30" spans="2:9" ht="13.25" x14ac:dyDescent="0.25">
      <c r="B30" s="1" t="s">
        <v>24</v>
      </c>
      <c r="D30" s="11">
        <f>+D29/D28</f>
        <v>0.33333333333333331</v>
      </c>
    </row>
    <row r="31" spans="2:9" ht="13.25" x14ac:dyDescent="0.25">
      <c r="B31" s="1" t="s">
        <v>281</v>
      </c>
      <c r="D31" s="174">
        <f>+H25*12</f>
        <v>360</v>
      </c>
    </row>
    <row r="33" spans="2:9" ht="13.25" x14ac:dyDescent="0.25">
      <c r="B33" s="1" t="s">
        <v>278</v>
      </c>
      <c r="D33" s="11">
        <f>+(D29-D31)/D28</f>
        <v>0.27333333333333332</v>
      </c>
    </row>
    <row r="36" spans="2:9" ht="13.25" x14ac:dyDescent="0.25">
      <c r="B36" s="336" t="s">
        <v>282</v>
      </c>
      <c r="C36" s="336"/>
      <c r="D36" s="336"/>
      <c r="E36" s="336"/>
      <c r="F36" s="336"/>
      <c r="G36" s="296"/>
      <c r="H36" s="296"/>
      <c r="I36" s="296"/>
    </row>
    <row r="37" spans="2:9" ht="13.25" x14ac:dyDescent="0.25">
      <c r="B37" s="336"/>
      <c r="C37" s="336"/>
      <c r="D37" s="336"/>
      <c r="E37" s="336"/>
      <c r="F37" s="336"/>
      <c r="G37" s="296"/>
      <c r="H37" s="296"/>
      <c r="I37" s="296"/>
    </row>
    <row r="39" spans="2:9" ht="13.25" x14ac:dyDescent="0.25">
      <c r="B39" s="1" t="s">
        <v>283</v>
      </c>
    </row>
    <row r="40" spans="2:9" ht="13.25" x14ac:dyDescent="0.25">
      <c r="B40" s="1" t="s">
        <v>284</v>
      </c>
    </row>
    <row r="42" spans="2:9" ht="13" x14ac:dyDescent="0.3">
      <c r="B42" s="290" t="s">
        <v>282</v>
      </c>
      <c r="C42" s="290"/>
      <c r="D42" s="290"/>
      <c r="E42" s="291"/>
      <c r="F42" s="291"/>
    </row>
    <row r="43" spans="2:9" ht="13.25" x14ac:dyDescent="0.25">
      <c r="B43" s="283" t="s">
        <v>285</v>
      </c>
      <c r="C43" s="287" t="s">
        <v>292</v>
      </c>
      <c r="D43" s="287" t="s">
        <v>293</v>
      </c>
      <c r="E43" s="95" t="s">
        <v>294</v>
      </c>
      <c r="F43" s="95" t="s">
        <v>295</v>
      </c>
    </row>
    <row r="44" spans="2:9" ht="13.25" x14ac:dyDescent="0.25">
      <c r="B44" s="284"/>
    </row>
    <row r="45" spans="2:9" ht="13.25" x14ac:dyDescent="0.25">
      <c r="B45" s="284" t="s">
        <v>286</v>
      </c>
      <c r="C45" s="292">
        <v>200</v>
      </c>
      <c r="D45" s="284">
        <f>+C48</f>
        <v>240</v>
      </c>
      <c r="E45" s="284">
        <f t="shared" ref="E45:F45" si="5">+D48</f>
        <v>269</v>
      </c>
      <c r="F45" s="284">
        <f t="shared" si="5"/>
        <v>291</v>
      </c>
    </row>
    <row r="46" spans="2:9" ht="13.25" x14ac:dyDescent="0.25">
      <c r="B46" s="284" t="s">
        <v>296</v>
      </c>
      <c r="C46" s="284">
        <f>+-$C45*C51</f>
        <v>-24</v>
      </c>
      <c r="D46" s="284">
        <f t="shared" ref="D46:F46" si="6">+-$C45*D51</f>
        <v>-17</v>
      </c>
      <c r="E46" s="284">
        <f t="shared" si="6"/>
        <v>-14.000000000000002</v>
      </c>
      <c r="F46" s="284">
        <f t="shared" si="6"/>
        <v>-10</v>
      </c>
    </row>
    <row r="47" spans="2:9" ht="13.25" x14ac:dyDescent="0.25">
      <c r="B47" s="286" t="s">
        <v>297</v>
      </c>
      <c r="C47" s="286">
        <f>+$C45*C52</f>
        <v>16</v>
      </c>
      <c r="D47" s="286">
        <f t="shared" ref="D47:F47" si="7">+$C45*D52</f>
        <v>12</v>
      </c>
      <c r="E47" s="286">
        <f t="shared" si="7"/>
        <v>8</v>
      </c>
      <c r="F47" s="286">
        <f t="shared" si="7"/>
        <v>4</v>
      </c>
    </row>
    <row r="48" spans="2:9" ht="13" x14ac:dyDescent="0.3">
      <c r="B48" s="285" t="s">
        <v>287</v>
      </c>
      <c r="C48" s="285">
        <f>+C45-C46+C47</f>
        <v>240</v>
      </c>
      <c r="D48" s="285">
        <f t="shared" ref="D48:F48" si="8">+D45-D46+D47</f>
        <v>269</v>
      </c>
      <c r="E48" s="285">
        <f t="shared" si="8"/>
        <v>291</v>
      </c>
      <c r="F48" s="285">
        <f t="shared" si="8"/>
        <v>305</v>
      </c>
    </row>
    <row r="49" spans="2:6" ht="13.25" x14ac:dyDescent="0.25">
      <c r="B49" s="284"/>
      <c r="C49" s="284"/>
      <c r="D49" s="284"/>
    </row>
    <row r="50" spans="2:6" ht="13" x14ac:dyDescent="0.3">
      <c r="B50" s="288" t="s">
        <v>194</v>
      </c>
      <c r="C50" s="288"/>
      <c r="D50" s="288"/>
      <c r="E50" s="4"/>
      <c r="F50" s="4"/>
    </row>
    <row r="51" spans="2:6" ht="13.25" x14ac:dyDescent="0.25">
      <c r="B51" s="284" t="s">
        <v>288</v>
      </c>
      <c r="C51" s="293">
        <v>0.12</v>
      </c>
      <c r="D51" s="293">
        <v>8.5000000000000006E-2</v>
      </c>
      <c r="E51" s="294">
        <v>7.0000000000000007E-2</v>
      </c>
      <c r="F51" s="294">
        <v>0.05</v>
      </c>
    </row>
    <row r="52" spans="2:6" ht="13.25" x14ac:dyDescent="0.25">
      <c r="B52" s="284" t="s">
        <v>289</v>
      </c>
      <c r="C52" s="294">
        <v>0.08</v>
      </c>
      <c r="D52" s="294">
        <v>0.06</v>
      </c>
      <c r="E52" s="294">
        <v>0.04</v>
      </c>
      <c r="F52" s="294">
        <v>0.02</v>
      </c>
    </row>
    <row r="53" spans="2:6" x14ac:dyDescent="0.25">
      <c r="B53" s="284"/>
      <c r="C53" s="284"/>
      <c r="D53" s="284"/>
    </row>
    <row r="54" spans="2:6" x14ac:dyDescent="0.25">
      <c r="B54" s="284" t="s">
        <v>290</v>
      </c>
      <c r="C54" s="284">
        <f>+-C46</f>
        <v>24</v>
      </c>
      <c r="D54" s="284">
        <f t="shared" ref="D54:F54" si="9">+-D46</f>
        <v>17</v>
      </c>
      <c r="E54" s="284">
        <f t="shared" si="9"/>
        <v>14.000000000000002</v>
      </c>
      <c r="F54" s="284">
        <f t="shared" si="9"/>
        <v>10</v>
      </c>
    </row>
    <row r="55" spans="2:6" x14ac:dyDescent="0.25">
      <c r="B55" s="284" t="s">
        <v>291</v>
      </c>
      <c r="C55" s="284">
        <f>+AVERAGE(C45,C48)</f>
        <v>220</v>
      </c>
      <c r="D55" s="284">
        <f t="shared" ref="D55:F55" si="10">+AVERAGE(D45,D48)</f>
        <v>254.5</v>
      </c>
      <c r="E55" s="284">
        <f t="shared" si="10"/>
        <v>280</v>
      </c>
      <c r="F55" s="284">
        <f t="shared" si="10"/>
        <v>298</v>
      </c>
    </row>
    <row r="56" spans="2:6" ht="13" x14ac:dyDescent="0.3">
      <c r="B56" s="289" t="s">
        <v>282</v>
      </c>
      <c r="C56" s="295">
        <f>+C54/C55</f>
        <v>0.10909090909090909</v>
      </c>
      <c r="D56" s="295">
        <f t="shared" ref="D56:F56" si="11">+D54/D55</f>
        <v>6.6797642436149315E-2</v>
      </c>
      <c r="E56" s="295">
        <f t="shared" si="11"/>
        <v>5.000000000000001E-2</v>
      </c>
      <c r="F56" s="295">
        <f t="shared" si="11"/>
        <v>3.3557046979865772E-2</v>
      </c>
    </row>
    <row r="59" spans="2:6" x14ac:dyDescent="0.25">
      <c r="B59" s="336" t="s">
        <v>298</v>
      </c>
      <c r="C59" s="336"/>
      <c r="D59" s="336"/>
      <c r="E59" s="336"/>
      <c r="F59" s="336"/>
    </row>
    <row r="60" spans="2:6" x14ac:dyDescent="0.25">
      <c r="B60" s="336"/>
      <c r="C60" s="336"/>
      <c r="D60" s="336"/>
      <c r="E60" s="336"/>
      <c r="F60" s="336"/>
    </row>
    <row r="61" spans="2:6" x14ac:dyDescent="0.25">
      <c r="C61" s="95" t="s">
        <v>117</v>
      </c>
      <c r="D61" s="95" t="s">
        <v>118</v>
      </c>
      <c r="E61" s="95" t="s">
        <v>119</v>
      </c>
      <c r="F61" s="95" t="s">
        <v>120</v>
      </c>
    </row>
    <row r="62" spans="2:6" x14ac:dyDescent="0.25">
      <c r="B62" s="1" t="s">
        <v>233</v>
      </c>
      <c r="C62" s="113">
        <v>500</v>
      </c>
      <c r="D62" s="1">
        <f>+C65</f>
        <v>555</v>
      </c>
      <c r="E62" s="1">
        <f t="shared" ref="E62:F62" si="12">+D65</f>
        <v>635</v>
      </c>
      <c r="F62" s="1">
        <f t="shared" si="12"/>
        <v>755</v>
      </c>
    </row>
    <row r="63" spans="2:6" x14ac:dyDescent="0.25">
      <c r="B63" s="1" t="s">
        <v>299</v>
      </c>
      <c r="C63" s="113">
        <v>150</v>
      </c>
      <c r="D63" s="113">
        <v>180</v>
      </c>
      <c r="E63" s="113">
        <v>250</v>
      </c>
      <c r="F63" s="113">
        <v>300</v>
      </c>
    </row>
    <row r="64" spans="2:6" x14ac:dyDescent="0.25">
      <c r="B64" s="4" t="s">
        <v>300</v>
      </c>
      <c r="C64" s="297">
        <v>-95</v>
      </c>
      <c r="D64" s="297">
        <v>-100</v>
      </c>
      <c r="E64" s="297">
        <v>-130</v>
      </c>
      <c r="F64" s="297">
        <v>-180</v>
      </c>
    </row>
    <row r="65" spans="2:7" x14ac:dyDescent="0.25">
      <c r="C65" s="281">
        <f>+C62+C63+C64</f>
        <v>555</v>
      </c>
      <c r="D65" s="281">
        <f t="shared" ref="D65:F65" si="13">+D62+D63+D64</f>
        <v>635</v>
      </c>
      <c r="E65" s="281">
        <f t="shared" si="13"/>
        <v>755</v>
      </c>
      <c r="F65" s="281">
        <f t="shared" si="13"/>
        <v>875</v>
      </c>
    </row>
    <row r="67" spans="2:7" x14ac:dyDescent="0.25">
      <c r="B67" s="1" t="s">
        <v>301</v>
      </c>
      <c r="C67" s="11">
        <f>+(C65-C63)/C62</f>
        <v>0.81</v>
      </c>
      <c r="D67" s="11">
        <f t="shared" ref="D67:F67" si="14">+(D65-D63)/D62</f>
        <v>0.81981981981981977</v>
      </c>
      <c r="E67" s="11">
        <f t="shared" si="14"/>
        <v>0.79527559055118113</v>
      </c>
      <c r="F67" s="11">
        <f t="shared" si="14"/>
        <v>0.76158940397350994</v>
      </c>
    </row>
    <row r="70" spans="2:7" x14ac:dyDescent="0.25">
      <c r="B70" s="336" t="s">
        <v>302</v>
      </c>
      <c r="C70" s="336"/>
      <c r="D70" s="336"/>
      <c r="E70" s="336"/>
      <c r="F70" s="336"/>
      <c r="G70" s="336"/>
    </row>
    <row r="71" spans="2:7" x14ac:dyDescent="0.25">
      <c r="B71" s="336"/>
      <c r="C71" s="336"/>
      <c r="D71" s="336"/>
      <c r="E71" s="336"/>
      <c r="F71" s="336"/>
      <c r="G71" s="336"/>
    </row>
    <row r="73" spans="2:7" x14ac:dyDescent="0.25">
      <c r="D73" s="95" t="s">
        <v>303</v>
      </c>
      <c r="E73" s="95" t="s">
        <v>304</v>
      </c>
      <c r="F73" s="95" t="s">
        <v>305</v>
      </c>
      <c r="G73" s="95" t="s">
        <v>306</v>
      </c>
    </row>
    <row r="75" spans="2:7" x14ac:dyDescent="0.25">
      <c r="B75" s="1" t="s">
        <v>307</v>
      </c>
      <c r="D75" s="74">
        <v>2000</v>
      </c>
      <c r="E75" s="10">
        <f>+D78</f>
        <v>2350</v>
      </c>
      <c r="F75" s="10">
        <f t="shared" ref="F75:G75" si="15">+E78</f>
        <v>2721</v>
      </c>
      <c r="G75" s="10">
        <f t="shared" si="15"/>
        <v>3113</v>
      </c>
    </row>
    <row r="76" spans="2:7" x14ac:dyDescent="0.25">
      <c r="B76" s="1" t="s">
        <v>181</v>
      </c>
      <c r="C76" s="298">
        <v>6</v>
      </c>
      <c r="D76" s="74">
        <v>150</v>
      </c>
      <c r="E76" s="281">
        <f>+D76+$C76</f>
        <v>156</v>
      </c>
      <c r="F76" s="281">
        <f t="shared" ref="F76:G76" si="16">+E76+$C76</f>
        <v>162</v>
      </c>
      <c r="G76" s="281">
        <f t="shared" si="16"/>
        <v>168</v>
      </c>
    </row>
    <row r="77" spans="2:7" x14ac:dyDescent="0.25">
      <c r="B77" s="4" t="s">
        <v>174</v>
      </c>
      <c r="C77" s="298">
        <v>15</v>
      </c>
      <c r="D77" s="279">
        <v>200</v>
      </c>
      <c r="E77" s="248">
        <f>+D77+$C77</f>
        <v>215</v>
      </c>
      <c r="F77" s="248">
        <f t="shared" ref="F77:G77" si="17">+E77+$C77</f>
        <v>230</v>
      </c>
      <c r="G77" s="248">
        <f t="shared" si="17"/>
        <v>245</v>
      </c>
    </row>
    <row r="78" spans="2:7" ht="13" x14ac:dyDescent="0.3">
      <c r="B78" s="6" t="s">
        <v>308</v>
      </c>
      <c r="C78" s="6"/>
      <c r="D78" s="78">
        <f>+D75+D76+D77</f>
        <v>2350</v>
      </c>
      <c r="E78" s="78">
        <f t="shared" ref="E78:G78" si="18">+E75+E76+E77</f>
        <v>2721</v>
      </c>
      <c r="F78" s="78">
        <f t="shared" si="18"/>
        <v>3113</v>
      </c>
      <c r="G78" s="78">
        <f t="shared" si="18"/>
        <v>3526</v>
      </c>
    </row>
    <row r="80" spans="2:7" ht="13" x14ac:dyDescent="0.3">
      <c r="B80" s="96" t="s">
        <v>302</v>
      </c>
      <c r="C80" s="96"/>
      <c r="D80" s="299">
        <f>+(-D76-D77)/D75</f>
        <v>-0.17499999999999999</v>
      </c>
      <c r="E80" s="299">
        <f t="shared" ref="E80:G80" si="19">+(-E76-E77)/E75</f>
        <v>-0.15787234042553192</v>
      </c>
      <c r="F80" s="299">
        <f t="shared" si="19"/>
        <v>-0.14406468210216833</v>
      </c>
      <c r="G80" s="299">
        <f t="shared" si="19"/>
        <v>-0.13266945069065211</v>
      </c>
    </row>
    <row r="83" spans="2:7" x14ac:dyDescent="0.25">
      <c r="B83" s="336" t="s">
        <v>309</v>
      </c>
      <c r="C83" s="336"/>
      <c r="D83" s="336"/>
      <c r="E83" s="336"/>
      <c r="F83" s="336"/>
      <c r="G83" s="336"/>
    </row>
    <row r="84" spans="2:7" x14ac:dyDescent="0.25">
      <c r="B84" s="336"/>
      <c r="C84" s="336"/>
      <c r="D84" s="336"/>
      <c r="E84" s="336"/>
      <c r="F84" s="336"/>
      <c r="G84" s="336"/>
    </row>
    <row r="86" spans="2:7" x14ac:dyDescent="0.25">
      <c r="B86" s="4" t="s">
        <v>309</v>
      </c>
      <c r="C86" s="4"/>
      <c r="D86" s="4"/>
      <c r="E86" s="4"/>
      <c r="F86" s="4"/>
      <c r="G86" s="4"/>
    </row>
    <row r="87" spans="2:7" x14ac:dyDescent="0.25">
      <c r="B87" s="1" t="s">
        <v>285</v>
      </c>
      <c r="D87" s="172" t="s">
        <v>303</v>
      </c>
      <c r="E87" s="172" t="s">
        <v>304</v>
      </c>
      <c r="F87" s="172" t="s">
        <v>305</v>
      </c>
      <c r="G87" s="172" t="s">
        <v>306</v>
      </c>
    </row>
    <row r="89" spans="2:7" x14ac:dyDescent="0.25">
      <c r="B89" s="1" t="s">
        <v>233</v>
      </c>
      <c r="D89" s="74">
        <v>800</v>
      </c>
      <c r="E89" s="75">
        <f>+D92</f>
        <v>812</v>
      </c>
      <c r="F89" s="75">
        <f t="shared" ref="F89:G89" si="20">+E92</f>
        <v>836.36</v>
      </c>
      <c r="G89" s="75">
        <f t="shared" si="20"/>
        <v>865.63260000000002</v>
      </c>
    </row>
    <row r="90" spans="2:7" x14ac:dyDescent="0.25">
      <c r="B90" s="1" t="s">
        <v>314</v>
      </c>
      <c r="D90" s="75">
        <f>+D94*D89</f>
        <v>48</v>
      </c>
      <c r="E90" s="75">
        <f t="shared" ref="E90:G90" si="21">+E94*E89</f>
        <v>69.02000000000001</v>
      </c>
      <c r="F90" s="75">
        <f t="shared" si="21"/>
        <v>79.4542</v>
      </c>
      <c r="G90" s="75">
        <f t="shared" si="21"/>
        <v>86.563260000000014</v>
      </c>
    </row>
    <row r="91" spans="2:7" x14ac:dyDescent="0.25">
      <c r="B91" s="4" t="s">
        <v>315</v>
      </c>
      <c r="C91" s="4"/>
      <c r="D91" s="301">
        <f>+-D89*D95</f>
        <v>-36</v>
      </c>
      <c r="E91" s="301">
        <f t="shared" ref="E91:G91" si="22">+-E89*E95</f>
        <v>-44.660000000000004</v>
      </c>
      <c r="F91" s="301">
        <f t="shared" si="22"/>
        <v>-50.181599999999996</v>
      </c>
      <c r="G91" s="301">
        <f t="shared" si="22"/>
        <v>-47.609793000000003</v>
      </c>
    </row>
    <row r="92" spans="2:7" x14ac:dyDescent="0.25">
      <c r="B92" s="1" t="s">
        <v>237</v>
      </c>
      <c r="D92" s="97">
        <f>+D89+D90+D91</f>
        <v>812</v>
      </c>
      <c r="E92" s="97">
        <f t="shared" ref="E92:G92" si="23">+E89+E90+E91</f>
        <v>836.36</v>
      </c>
      <c r="F92" s="97">
        <f t="shared" si="23"/>
        <v>865.63260000000002</v>
      </c>
      <c r="G92" s="97">
        <f t="shared" si="23"/>
        <v>904.58606700000007</v>
      </c>
    </row>
    <row r="94" spans="2:7" x14ac:dyDescent="0.25">
      <c r="B94" s="1" t="s">
        <v>310</v>
      </c>
      <c r="D94" s="212">
        <v>0.06</v>
      </c>
      <c r="E94" s="300">
        <v>8.5000000000000006E-2</v>
      </c>
      <c r="F94" s="300">
        <v>9.5000000000000001E-2</v>
      </c>
      <c r="G94" s="212">
        <v>0.1</v>
      </c>
    </row>
    <row r="95" spans="2:7" x14ac:dyDescent="0.25">
      <c r="B95" s="1" t="s">
        <v>311</v>
      </c>
      <c r="D95" s="300">
        <v>4.4999999999999998E-2</v>
      </c>
      <c r="E95" s="300">
        <v>5.5E-2</v>
      </c>
      <c r="F95" s="212">
        <v>0.06</v>
      </c>
      <c r="G95" s="300">
        <v>5.5E-2</v>
      </c>
    </row>
    <row r="97" spans="2:7" x14ac:dyDescent="0.25">
      <c r="B97" s="1" t="s">
        <v>312</v>
      </c>
      <c r="D97" s="97">
        <f>+D89+D91</f>
        <v>764</v>
      </c>
      <c r="E97" s="97">
        <f t="shared" ref="E97:G97" si="24">+E89+E91</f>
        <v>767.34</v>
      </c>
      <c r="F97" s="97">
        <f t="shared" si="24"/>
        <v>786.17840000000001</v>
      </c>
      <c r="G97" s="97">
        <f t="shared" si="24"/>
        <v>818.02280700000006</v>
      </c>
    </row>
    <row r="98" spans="2:7" x14ac:dyDescent="0.25">
      <c r="B98" s="1" t="s">
        <v>313</v>
      </c>
      <c r="D98" s="97">
        <f>+D89</f>
        <v>800</v>
      </c>
      <c r="E98" s="97">
        <f t="shared" ref="E98:G98" si="25">+E89</f>
        <v>812</v>
      </c>
      <c r="F98" s="97">
        <f t="shared" si="25"/>
        <v>836.36</v>
      </c>
      <c r="G98" s="97">
        <f t="shared" si="25"/>
        <v>865.63260000000002</v>
      </c>
    </row>
    <row r="99" spans="2:7" ht="13" x14ac:dyDescent="0.3">
      <c r="B99" s="96" t="s">
        <v>309</v>
      </c>
      <c r="C99" s="96"/>
      <c r="D99" s="299">
        <f>+D97/D98</f>
        <v>0.95499999999999996</v>
      </c>
      <c r="E99" s="299">
        <f t="shared" ref="E99:G99" si="26">+E97/E98</f>
        <v>0.94500000000000006</v>
      </c>
      <c r="F99" s="299">
        <f t="shared" si="26"/>
        <v>0.94</v>
      </c>
      <c r="G99" s="299">
        <f t="shared" si="26"/>
        <v>0.94500000000000006</v>
      </c>
    </row>
  </sheetData>
  <mergeCells count="10">
    <mergeCell ref="B2:I4"/>
    <mergeCell ref="B18:I19"/>
    <mergeCell ref="H21:I21"/>
    <mergeCell ref="H23:I23"/>
    <mergeCell ref="H24:I24"/>
    <mergeCell ref="B83:G84"/>
    <mergeCell ref="H25:I25"/>
    <mergeCell ref="B36:F37"/>
    <mergeCell ref="B59:F60"/>
    <mergeCell ref="B70:G71"/>
  </mergeCells>
  <pageMargins left="0.7" right="0.7" top="0.75" bottom="0.75" header="0.3" footer="0.3"/>
  <pageSetup paperSize="9" orientation="portrait" horizontalDpi="300" verticalDpi="300" r:id="rId1"/>
  <ignoredErrors>
    <ignoredError sqref="F9:F10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F7732-28DB-4697-A0A7-C09FE553DC88}">
  <sheetPr>
    <tabColor theme="4" tint="-0.249977111117893"/>
  </sheetPr>
  <dimension ref="A1"/>
  <sheetViews>
    <sheetView workbookViewId="0">
      <selection sqref="A1:XFD1048576"/>
    </sheetView>
  </sheetViews>
  <sheetFormatPr defaultColWidth="8.90625" defaultRowHeight="14.5" x14ac:dyDescent="0.35"/>
  <cols>
    <col min="1" max="16384" width="8.90625" style="302"/>
  </cols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96BE-6834-4A28-A883-F982A9794CEE}">
  <dimension ref="B3:G18"/>
  <sheetViews>
    <sheetView workbookViewId="0">
      <selection activeCell="K22" sqref="K22"/>
    </sheetView>
  </sheetViews>
  <sheetFormatPr defaultColWidth="8.90625" defaultRowHeight="12.5" x14ac:dyDescent="0.25"/>
  <cols>
    <col min="1" max="16384" width="8.90625" style="1"/>
  </cols>
  <sheetData>
    <row r="3" spans="2:7" x14ac:dyDescent="0.25">
      <c r="B3" s="336" t="s">
        <v>325</v>
      </c>
      <c r="C3" s="336"/>
      <c r="D3" s="336"/>
      <c r="E3" s="336"/>
      <c r="F3" s="336"/>
      <c r="G3" s="336"/>
    </row>
    <row r="4" spans="2:7" x14ac:dyDescent="0.25">
      <c r="B4" s="336"/>
      <c r="C4" s="336"/>
      <c r="D4" s="336"/>
      <c r="E4" s="336"/>
      <c r="F4" s="336"/>
      <c r="G4" s="336"/>
    </row>
    <row r="6" spans="2:7" x14ac:dyDescent="0.25">
      <c r="B6" s="1" t="s">
        <v>68</v>
      </c>
      <c r="F6" s="95" t="s">
        <v>303</v>
      </c>
      <c r="G6" s="95" t="s">
        <v>304</v>
      </c>
    </row>
    <row r="8" spans="2:7" x14ac:dyDescent="0.25">
      <c r="B8" s="1" t="s">
        <v>78</v>
      </c>
      <c r="F8" s="113">
        <v>200</v>
      </c>
      <c r="G8" s="113">
        <v>225</v>
      </c>
    </row>
    <row r="9" spans="2:7" x14ac:dyDescent="0.25">
      <c r="B9" s="4" t="s">
        <v>326</v>
      </c>
      <c r="C9" s="4"/>
      <c r="D9" s="4"/>
      <c r="E9" s="4"/>
      <c r="F9" s="297">
        <f>+-200</f>
        <v>-200</v>
      </c>
      <c r="G9" s="248">
        <v>-200</v>
      </c>
    </row>
    <row r="10" spans="2:7" x14ac:dyDescent="0.25">
      <c r="B10" s="314" t="s">
        <v>327</v>
      </c>
      <c r="C10" s="209"/>
      <c r="D10" s="209"/>
      <c r="E10" s="209"/>
      <c r="F10" s="315"/>
      <c r="G10" s="316">
        <f>+((G8-F8)*4)/-F9</f>
        <v>0.5</v>
      </c>
    </row>
    <row r="12" spans="2:7" x14ac:dyDescent="0.25">
      <c r="B12" s="1" t="s">
        <v>78</v>
      </c>
      <c r="F12" s="113">
        <f>+F8</f>
        <v>200</v>
      </c>
      <c r="G12" s="1">
        <f>+G8</f>
        <v>225</v>
      </c>
    </row>
    <row r="13" spans="2:7" x14ac:dyDescent="0.25">
      <c r="B13" s="4" t="s">
        <v>326</v>
      </c>
      <c r="C13" s="4"/>
      <c r="D13" s="4"/>
      <c r="E13" s="4"/>
      <c r="F13" s="297">
        <f>+-150</f>
        <v>-150</v>
      </c>
      <c r="G13" s="248">
        <f>+F13</f>
        <v>-150</v>
      </c>
    </row>
    <row r="14" spans="2:7" x14ac:dyDescent="0.25">
      <c r="B14" s="314" t="s">
        <v>327</v>
      </c>
      <c r="C14" s="209"/>
      <c r="D14" s="209"/>
      <c r="E14" s="209"/>
      <c r="F14" s="209"/>
      <c r="G14" s="317">
        <f>+((G12-F12)*4)/-F13</f>
        <v>0.66666666666666663</v>
      </c>
    </row>
    <row r="16" spans="2:7" x14ac:dyDescent="0.25">
      <c r="B16" s="1" t="s">
        <v>78</v>
      </c>
      <c r="F16" s="113">
        <f>+F12</f>
        <v>200</v>
      </c>
      <c r="G16" s="1">
        <f>+G12</f>
        <v>225</v>
      </c>
    </row>
    <row r="17" spans="2:7" x14ac:dyDescent="0.25">
      <c r="B17" s="4" t="s">
        <v>326</v>
      </c>
      <c r="C17" s="4"/>
      <c r="D17" s="4"/>
      <c r="E17" s="4"/>
      <c r="F17" s="297">
        <f>+-80</f>
        <v>-80</v>
      </c>
      <c r="G17" s="248">
        <f>+F17</f>
        <v>-80</v>
      </c>
    </row>
    <row r="18" spans="2:7" x14ac:dyDescent="0.25">
      <c r="B18" s="314" t="s">
        <v>327</v>
      </c>
      <c r="C18" s="209"/>
      <c r="D18" s="209"/>
      <c r="E18" s="209"/>
      <c r="F18" s="209"/>
      <c r="G18" s="211">
        <f>+((G16-F16)*4)/-F17</f>
        <v>1.25</v>
      </c>
    </row>
  </sheetData>
  <mergeCells count="1">
    <mergeCell ref="B3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320D2-01DD-4BC6-9AC0-5E146980A170}">
  <dimension ref="B2:H46"/>
  <sheetViews>
    <sheetView topLeftCell="B7" zoomScale="90" zoomScaleNormal="90" workbookViewId="0">
      <selection activeCell="Q27" sqref="Q27"/>
    </sheetView>
  </sheetViews>
  <sheetFormatPr defaultColWidth="8.90625" defaultRowHeight="12.5" x14ac:dyDescent="0.25"/>
  <cols>
    <col min="1" max="1" width="8.90625" style="1"/>
    <col min="2" max="2" width="19" style="1" customWidth="1"/>
    <col min="3" max="3" width="10.453125" style="97" bestFit="1" customWidth="1"/>
    <col min="4" max="4" width="11.6328125" style="179" bestFit="1" customWidth="1"/>
    <col min="5" max="5" width="8.90625" style="1"/>
    <col min="6" max="6" width="8.90625" style="1" customWidth="1"/>
    <col min="7" max="7" width="8.453125" style="1" customWidth="1"/>
    <col min="8" max="8" width="21.90625" style="3" customWidth="1"/>
    <col min="9" max="16384" width="8.90625" style="1"/>
  </cols>
  <sheetData>
    <row r="2" spans="2:8" ht="14.4" customHeight="1" x14ac:dyDescent="0.25">
      <c r="B2" s="321" t="s">
        <v>0</v>
      </c>
      <c r="C2" s="322"/>
      <c r="D2" s="322"/>
      <c r="E2" s="322"/>
      <c r="F2" s="322"/>
      <c r="G2" s="322"/>
      <c r="H2" s="323"/>
    </row>
    <row r="3" spans="2:8" x14ac:dyDescent="0.25">
      <c r="B3" s="324"/>
      <c r="C3" s="325"/>
      <c r="D3" s="325"/>
      <c r="E3" s="325"/>
      <c r="F3" s="325"/>
      <c r="G3" s="325"/>
      <c r="H3" s="326"/>
    </row>
    <row r="5" spans="2:8" ht="13" x14ac:dyDescent="0.3">
      <c r="B5" s="9" t="s">
        <v>11</v>
      </c>
      <c r="C5" s="216"/>
      <c r="D5" s="217" t="s">
        <v>17</v>
      </c>
      <c r="E5" s="9"/>
      <c r="F5" s="9" t="s">
        <v>12</v>
      </c>
      <c r="G5" s="9"/>
      <c r="H5" s="9"/>
    </row>
    <row r="6" spans="2:8" ht="25.25" customHeight="1" x14ac:dyDescent="0.25">
      <c r="B6" s="320" t="s">
        <v>13</v>
      </c>
      <c r="C6" s="320"/>
      <c r="D6" s="235">
        <v>5</v>
      </c>
      <c r="E6" s="4"/>
      <c r="F6" s="4"/>
      <c r="G6" s="4"/>
      <c r="H6" s="4"/>
    </row>
    <row r="7" spans="2:8" ht="38.4" customHeight="1" x14ac:dyDescent="0.25">
      <c r="B7" s="5" t="s">
        <v>14</v>
      </c>
      <c r="C7" s="218"/>
      <c r="D7" s="221">
        <v>20000</v>
      </c>
      <c r="E7" s="5"/>
      <c r="F7" s="319" t="s">
        <v>15</v>
      </c>
      <c r="G7" s="319"/>
      <c r="H7" s="319"/>
    </row>
    <row r="8" spans="2:8" ht="13" x14ac:dyDescent="0.3">
      <c r="B8" s="9" t="s">
        <v>1</v>
      </c>
      <c r="C8" s="216"/>
      <c r="D8" s="222"/>
      <c r="E8" s="9"/>
      <c r="F8" s="9"/>
      <c r="G8" s="9"/>
      <c r="H8" s="9"/>
    </row>
    <row r="9" spans="2:8" x14ac:dyDescent="0.25">
      <c r="B9" s="1" t="s">
        <v>2</v>
      </c>
      <c r="D9" s="178">
        <v>15000</v>
      </c>
      <c r="H9" s="1"/>
    </row>
    <row r="10" spans="2:8" x14ac:dyDescent="0.25">
      <c r="B10" s="1" t="s">
        <v>3</v>
      </c>
      <c r="D10" s="178">
        <v>12000</v>
      </c>
      <c r="H10" s="1"/>
    </row>
    <row r="11" spans="2:8" x14ac:dyDescent="0.25">
      <c r="B11" s="1" t="s">
        <v>4</v>
      </c>
      <c r="D11" s="178">
        <v>4000</v>
      </c>
      <c r="H11" s="1"/>
    </row>
    <row r="12" spans="2:8" x14ac:dyDescent="0.25">
      <c r="D12" s="178"/>
      <c r="H12" s="1"/>
    </row>
    <row r="13" spans="2:8" ht="13" x14ac:dyDescent="0.3">
      <c r="B13" s="7" t="s">
        <v>5</v>
      </c>
      <c r="C13" s="219"/>
      <c r="D13" s="223"/>
      <c r="E13" s="7"/>
      <c r="F13" s="7"/>
      <c r="G13" s="7"/>
      <c r="H13" s="7"/>
    </row>
    <row r="14" spans="2:8" x14ac:dyDescent="0.25">
      <c r="B14" s="1" t="s">
        <v>6</v>
      </c>
      <c r="D14" s="178">
        <f>+D6*D7</f>
        <v>100000</v>
      </c>
      <c r="F14" s="1" t="s">
        <v>16</v>
      </c>
      <c r="H14" s="1"/>
    </row>
    <row r="15" spans="2:8" x14ac:dyDescent="0.25">
      <c r="B15" s="1" t="s">
        <v>7</v>
      </c>
      <c r="D15" s="178">
        <f>+D9</f>
        <v>15000</v>
      </c>
      <c r="H15" s="1"/>
    </row>
    <row r="16" spans="2:8" x14ac:dyDescent="0.25">
      <c r="B16" s="1" t="s">
        <v>1</v>
      </c>
      <c r="D16" s="178">
        <f>+D10+D11</f>
        <v>16000</v>
      </c>
      <c r="H16" s="1"/>
    </row>
    <row r="17" spans="2:8" ht="13" x14ac:dyDescent="0.3">
      <c r="B17" s="228" t="s">
        <v>8</v>
      </c>
      <c r="C17" s="229"/>
      <c r="D17" s="234">
        <f>+D14+D15+D16</f>
        <v>131000</v>
      </c>
      <c r="E17" s="6"/>
      <c r="F17" s="6"/>
      <c r="G17" s="6"/>
      <c r="H17" s="6"/>
    </row>
    <row r="18" spans="2:8" x14ac:dyDescent="0.25">
      <c r="D18" s="8"/>
      <c r="H18" s="1"/>
    </row>
    <row r="19" spans="2:8" ht="13" x14ac:dyDescent="0.3">
      <c r="B19" s="228" t="s">
        <v>18</v>
      </c>
      <c r="C19" s="229"/>
      <c r="D19" s="237"/>
      <c r="E19" s="230"/>
      <c r="F19" s="230"/>
      <c r="G19" s="230"/>
      <c r="H19" s="231"/>
    </row>
    <row r="20" spans="2:8" x14ac:dyDescent="0.25">
      <c r="D20" s="8"/>
      <c r="H20" s="1"/>
    </row>
    <row r="21" spans="2:8" x14ac:dyDescent="0.25">
      <c r="B21" s="1" t="s">
        <v>10</v>
      </c>
      <c r="D21" s="178">
        <v>950</v>
      </c>
      <c r="H21" s="1"/>
    </row>
    <row r="22" spans="2:8" ht="13" x14ac:dyDescent="0.3">
      <c r="B22" s="228" t="s">
        <v>9</v>
      </c>
      <c r="C22" s="229"/>
      <c r="D22" s="234">
        <f>+D17/D21</f>
        <v>137.89473684210526</v>
      </c>
      <c r="E22" s="6"/>
      <c r="F22" s="6"/>
      <c r="G22" s="6"/>
      <c r="H22" s="6"/>
    </row>
    <row r="25" spans="2:8" ht="13" x14ac:dyDescent="0.3">
      <c r="B25" s="228" t="s">
        <v>19</v>
      </c>
      <c r="C25" s="229"/>
      <c r="D25" s="232"/>
      <c r="E25" s="230"/>
      <c r="F25" s="230"/>
      <c r="G25" s="230"/>
      <c r="H25" s="236"/>
    </row>
    <row r="27" spans="2:8" x14ac:dyDescent="0.25">
      <c r="B27" s="1" t="s">
        <v>20</v>
      </c>
      <c r="C27" s="97">
        <v>750</v>
      </c>
      <c r="E27" s="174">
        <f>+C27/D21</f>
        <v>0.78947368421052633</v>
      </c>
    </row>
    <row r="28" spans="2:8" x14ac:dyDescent="0.25">
      <c r="B28" s="1" t="s">
        <v>9</v>
      </c>
      <c r="C28" s="97">
        <f>+D22</f>
        <v>137.89473684210526</v>
      </c>
    </row>
    <row r="29" spans="2:8" ht="13" x14ac:dyDescent="0.3">
      <c r="B29" s="228" t="s">
        <v>21</v>
      </c>
      <c r="C29" s="233">
        <f>+C27/C28</f>
        <v>5.4389312977099236</v>
      </c>
      <c r="D29" s="227"/>
    </row>
    <row r="31" spans="2:8" ht="13" x14ac:dyDescent="0.3">
      <c r="B31" s="228" t="s">
        <v>22</v>
      </c>
      <c r="C31" s="229"/>
      <c r="D31" s="232"/>
      <c r="E31" s="230"/>
      <c r="F31" s="230"/>
      <c r="G31" s="230"/>
      <c r="H31" s="238"/>
    </row>
    <row r="32" spans="2:8" x14ac:dyDescent="0.25">
      <c r="B32" s="1" t="s">
        <v>23</v>
      </c>
      <c r="C32" s="123">
        <v>50</v>
      </c>
    </row>
    <row r="33" spans="2:8" x14ac:dyDescent="0.25">
      <c r="B33" s="1" t="s">
        <v>10</v>
      </c>
      <c r="C33" s="123">
        <v>450</v>
      </c>
    </row>
    <row r="34" spans="2:8" x14ac:dyDescent="0.25">
      <c r="B34" s="1" t="s">
        <v>24</v>
      </c>
      <c r="C34" s="11">
        <f>+C32/C33</f>
        <v>0.1111111111111111</v>
      </c>
    </row>
    <row r="36" spans="2:8" ht="13" x14ac:dyDescent="0.3">
      <c r="B36" s="228" t="s">
        <v>25</v>
      </c>
      <c r="C36" s="229"/>
      <c r="D36" s="232"/>
      <c r="E36" s="230"/>
      <c r="F36" s="230"/>
      <c r="G36" s="230"/>
      <c r="H36" s="238"/>
    </row>
    <row r="38" spans="2:8" ht="13" x14ac:dyDescent="0.3">
      <c r="B38" s="1" t="s">
        <v>10</v>
      </c>
      <c r="C38" s="123">
        <v>1000</v>
      </c>
      <c r="D38" s="220">
        <f>+C38/C34</f>
        <v>9000</v>
      </c>
    </row>
    <row r="39" spans="2:8" ht="13" x14ac:dyDescent="0.3">
      <c r="B39" s="1" t="s">
        <v>26</v>
      </c>
      <c r="C39" s="123">
        <v>2000</v>
      </c>
      <c r="D39" s="220">
        <f>+C39/C34</f>
        <v>18000</v>
      </c>
    </row>
    <row r="40" spans="2:8" x14ac:dyDescent="0.25">
      <c r="C40" s="123"/>
    </row>
    <row r="41" spans="2:8" x14ac:dyDescent="0.25">
      <c r="B41" s="1" t="s">
        <v>27</v>
      </c>
      <c r="C41" s="123">
        <v>1800</v>
      </c>
    </row>
    <row r="42" spans="2:8" x14ac:dyDescent="0.25">
      <c r="B42" s="1" t="s">
        <v>28</v>
      </c>
      <c r="C42" s="123">
        <v>3</v>
      </c>
    </row>
    <row r="43" spans="2:8" x14ac:dyDescent="0.25">
      <c r="B43" s="1" t="s">
        <v>29</v>
      </c>
      <c r="C43" s="123">
        <v>6</v>
      </c>
    </row>
    <row r="44" spans="2:8" ht="13" x14ac:dyDescent="0.3">
      <c r="B44" s="225" t="s">
        <v>30</v>
      </c>
      <c r="C44" s="226">
        <f>+C41*C42*C43</f>
        <v>32400</v>
      </c>
    </row>
    <row r="46" spans="2:8" x14ac:dyDescent="0.25">
      <c r="B46" s="128" t="s">
        <v>21</v>
      </c>
      <c r="C46" s="129">
        <f>+C44/C28</f>
        <v>234.96183206106872</v>
      </c>
    </row>
  </sheetData>
  <mergeCells count="3">
    <mergeCell ref="F7:H7"/>
    <mergeCell ref="B6:C6"/>
    <mergeCell ref="B2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99D30-DFB4-4CAD-B94D-90A8609DD8DA}">
  <dimension ref="A1:I47"/>
  <sheetViews>
    <sheetView topLeftCell="A33" zoomScale="75" workbookViewId="0">
      <selection activeCell="G45" sqref="G45"/>
    </sheetView>
  </sheetViews>
  <sheetFormatPr defaultColWidth="8.90625" defaultRowHeight="12.5" x14ac:dyDescent="0.25"/>
  <cols>
    <col min="1" max="1" width="3.1796875" style="1" customWidth="1"/>
    <col min="2" max="2" width="12.1796875" style="1" bestFit="1" customWidth="1"/>
    <col min="3" max="3" width="32.08984375" style="1" customWidth="1"/>
    <col min="4" max="4" width="11.453125" style="1" bestFit="1" customWidth="1"/>
    <col min="5" max="7" width="8.90625" style="1"/>
    <col min="8" max="8" width="11.453125" style="1" bestFit="1" customWidth="1"/>
    <col min="9" max="16384" width="8.90625" style="1"/>
  </cols>
  <sheetData>
    <row r="1" spans="1:9" x14ac:dyDescent="0.25">
      <c r="E1" s="2"/>
    </row>
    <row r="2" spans="1:9" x14ac:dyDescent="0.25">
      <c r="A2" s="1" t="s">
        <v>129</v>
      </c>
      <c r="B2" s="327" t="s">
        <v>132</v>
      </c>
      <c r="C2" s="327"/>
      <c r="D2" s="327"/>
      <c r="E2" s="327"/>
      <c r="F2" s="327"/>
      <c r="G2" s="327"/>
      <c r="H2" s="327"/>
      <c r="I2" s="327"/>
    </row>
    <row r="3" spans="1:9" x14ac:dyDescent="0.25">
      <c r="B3" s="327"/>
      <c r="C3" s="327"/>
      <c r="D3" s="327"/>
      <c r="E3" s="327"/>
      <c r="F3" s="327"/>
      <c r="G3" s="327"/>
      <c r="H3" s="327"/>
      <c r="I3" s="327"/>
    </row>
    <row r="4" spans="1:9" x14ac:dyDescent="0.25">
      <c r="B4" s="327"/>
      <c r="C4" s="327"/>
      <c r="D4" s="327"/>
      <c r="E4" s="327"/>
      <c r="F4" s="327"/>
      <c r="G4" s="327"/>
      <c r="H4" s="327"/>
      <c r="I4" s="327"/>
    </row>
    <row r="6" spans="1:9" ht="13" x14ac:dyDescent="0.3">
      <c r="B6" s="6" t="s">
        <v>130</v>
      </c>
      <c r="C6" s="1" t="s">
        <v>131</v>
      </c>
    </row>
    <row r="7" spans="1:9" ht="13" x14ac:dyDescent="0.3">
      <c r="B7" s="6" t="s">
        <v>133</v>
      </c>
      <c r="C7" s="1" t="s">
        <v>134</v>
      </c>
    </row>
    <row r="9" spans="1:9" x14ac:dyDescent="0.25">
      <c r="B9" s="110" t="s">
        <v>135</v>
      </c>
      <c r="C9" s="110"/>
      <c r="D9" s="110"/>
      <c r="E9" s="110"/>
      <c r="F9" s="110"/>
      <c r="G9" s="110"/>
      <c r="H9" s="110"/>
      <c r="I9" s="110"/>
    </row>
    <row r="10" spans="1:9" x14ac:dyDescent="0.25">
      <c r="B10" s="112" t="s">
        <v>116</v>
      </c>
      <c r="C10" s="4"/>
      <c r="D10" s="4"/>
      <c r="E10" s="4"/>
      <c r="F10" s="4"/>
      <c r="G10" s="4"/>
      <c r="H10" s="4"/>
    </row>
    <row r="12" spans="1:9" x14ac:dyDescent="0.25">
      <c r="B12" s="1" t="s">
        <v>136</v>
      </c>
      <c r="H12" s="74">
        <v>2500</v>
      </c>
    </row>
    <row r="13" spans="1:9" ht="13" x14ac:dyDescent="0.3">
      <c r="B13" s="4" t="s">
        <v>137</v>
      </c>
      <c r="C13" s="4"/>
      <c r="D13" s="4"/>
      <c r="E13" s="4"/>
      <c r="F13" s="4"/>
      <c r="G13" s="4"/>
      <c r="H13" s="114">
        <v>90</v>
      </c>
    </row>
    <row r="14" spans="1:9" ht="13" x14ac:dyDescent="0.3">
      <c r="B14" s="115" t="s">
        <v>138</v>
      </c>
      <c r="C14" s="115"/>
      <c r="D14" s="115"/>
      <c r="E14" s="115" t="s">
        <v>139</v>
      </c>
      <c r="F14" s="115" t="s">
        <v>140</v>
      </c>
      <c r="G14" s="115"/>
      <c r="H14" s="116">
        <f>+H12/H13</f>
        <v>27.777777777777779</v>
      </c>
    </row>
    <row r="15" spans="1:9" x14ac:dyDescent="0.25">
      <c r="B15" s="4" t="s">
        <v>141</v>
      </c>
      <c r="C15" s="4"/>
      <c r="D15" s="4"/>
      <c r="E15" s="4"/>
      <c r="F15" s="4"/>
      <c r="G15" s="4"/>
      <c r="H15" s="117">
        <v>0.8</v>
      </c>
    </row>
    <row r="16" spans="1:9" ht="13" x14ac:dyDescent="0.3">
      <c r="B16" s="115" t="s">
        <v>142</v>
      </c>
      <c r="C16" s="115"/>
      <c r="D16" s="115"/>
      <c r="E16" s="115"/>
      <c r="F16" s="115"/>
      <c r="G16" s="115"/>
      <c r="H16" s="118">
        <f>+H15*H14</f>
        <v>22.222222222222225</v>
      </c>
    </row>
    <row r="17" spans="2:9" ht="13" x14ac:dyDescent="0.3">
      <c r="B17" s="4" t="s">
        <v>143</v>
      </c>
      <c r="C17" s="4"/>
      <c r="D17" s="4"/>
      <c r="E17" s="4"/>
      <c r="F17" s="4"/>
      <c r="G17" s="4"/>
      <c r="H17" s="117">
        <v>0.1</v>
      </c>
    </row>
    <row r="18" spans="2:9" ht="13" x14ac:dyDescent="0.3">
      <c r="B18" s="119" t="s">
        <v>132</v>
      </c>
      <c r="C18" s="119"/>
      <c r="D18" s="119"/>
      <c r="E18" s="119"/>
      <c r="F18" s="119"/>
      <c r="G18" s="119"/>
      <c r="H18" s="120">
        <f>+H16/H17</f>
        <v>222.22222222222223</v>
      </c>
    </row>
    <row r="20" spans="2:9" ht="13" x14ac:dyDescent="0.3">
      <c r="B20" s="96" t="s">
        <v>164</v>
      </c>
      <c r="C20" s="110"/>
      <c r="D20" s="110"/>
      <c r="E20" s="110"/>
      <c r="F20" s="110"/>
      <c r="G20" s="110"/>
      <c r="H20" s="110"/>
      <c r="I20" s="110"/>
    </row>
    <row r="22" spans="2:9" x14ac:dyDescent="0.25">
      <c r="B22" s="1" t="s">
        <v>144</v>
      </c>
    </row>
    <row r="23" spans="2:9" x14ac:dyDescent="0.25">
      <c r="B23" s="1" t="s">
        <v>145</v>
      </c>
    </row>
    <row r="25" spans="2:9" ht="13" x14ac:dyDescent="0.3">
      <c r="B25" s="96" t="s">
        <v>146</v>
      </c>
      <c r="C25" s="110"/>
      <c r="D25" s="110"/>
      <c r="E25" s="110"/>
      <c r="F25" s="110"/>
      <c r="G25" s="110"/>
      <c r="H25" s="110"/>
      <c r="I25" s="110"/>
    </row>
    <row r="27" spans="2:9" ht="13" x14ac:dyDescent="0.3">
      <c r="B27" s="1" t="s">
        <v>147</v>
      </c>
      <c r="C27" s="1" t="s">
        <v>35</v>
      </c>
      <c r="D27" s="121" t="s">
        <v>148</v>
      </c>
      <c r="E27" s="1" t="s">
        <v>149</v>
      </c>
    </row>
    <row r="28" spans="2:9" x14ac:dyDescent="0.25">
      <c r="B28" s="1" t="s">
        <v>151</v>
      </c>
      <c r="C28" s="1" t="s">
        <v>152</v>
      </c>
      <c r="D28" s="2" t="str">
        <f>+D27</f>
        <v>÷</v>
      </c>
      <c r="E28" s="1" t="s">
        <v>153</v>
      </c>
    </row>
    <row r="30" spans="2:9" x14ac:dyDescent="0.25">
      <c r="B30" s="1" t="s">
        <v>150</v>
      </c>
      <c r="C30" s="1" t="s">
        <v>154</v>
      </c>
      <c r="D30" s="123">
        <v>30000</v>
      </c>
      <c r="F30" s="1" t="s">
        <v>158</v>
      </c>
    </row>
    <row r="31" spans="2:9" x14ac:dyDescent="0.25">
      <c r="C31" s="1" t="s">
        <v>155</v>
      </c>
      <c r="D31" s="97">
        <f>+D30/12</f>
        <v>2500</v>
      </c>
    </row>
    <row r="32" spans="2:9" x14ac:dyDescent="0.25">
      <c r="C32" s="1" t="s">
        <v>157</v>
      </c>
      <c r="D32" s="123">
        <v>90</v>
      </c>
    </row>
    <row r="33" spans="2:4" ht="13" x14ac:dyDescent="0.3">
      <c r="C33" s="125" t="s">
        <v>156</v>
      </c>
      <c r="D33" s="126">
        <f>+D32*D31</f>
        <v>225000</v>
      </c>
    </row>
    <row r="36" spans="2:4" x14ac:dyDescent="0.25">
      <c r="B36" s="1" t="s">
        <v>159</v>
      </c>
    </row>
    <row r="37" spans="2:4" x14ac:dyDescent="0.25">
      <c r="B37" s="1" t="s">
        <v>160</v>
      </c>
    </row>
    <row r="38" spans="2:4" x14ac:dyDescent="0.25">
      <c r="B38" s="1" t="s">
        <v>161</v>
      </c>
    </row>
    <row r="40" spans="2:4" x14ac:dyDescent="0.25">
      <c r="B40" s="1" t="s">
        <v>162</v>
      </c>
    </row>
    <row r="41" spans="2:4" x14ac:dyDescent="0.25">
      <c r="B41" s="1" t="s">
        <v>163</v>
      </c>
    </row>
    <row r="43" spans="2:4" x14ac:dyDescent="0.25">
      <c r="B43" s="97" t="s">
        <v>165</v>
      </c>
      <c r="C43" s="127">
        <f>+D31</f>
        <v>2500</v>
      </c>
    </row>
    <row r="44" spans="2:4" x14ac:dyDescent="0.25">
      <c r="B44" s="1" t="s">
        <v>166</v>
      </c>
      <c r="C44" s="122">
        <v>600</v>
      </c>
      <c r="D44" s="1" t="s">
        <v>129</v>
      </c>
    </row>
    <row r="45" spans="2:4" x14ac:dyDescent="0.25">
      <c r="B45" s="1" t="s">
        <v>24</v>
      </c>
      <c r="C45" s="122">
        <v>550</v>
      </c>
    </row>
    <row r="47" spans="2:4" x14ac:dyDescent="0.25">
      <c r="B47" s="128" t="s">
        <v>167</v>
      </c>
      <c r="C47" s="129">
        <f>+C43+C44-C46</f>
        <v>3100</v>
      </c>
    </row>
  </sheetData>
  <mergeCells count="1">
    <mergeCell ref="B2:I4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F6F86-4D05-41E2-8AC9-6886587BD414}">
  <dimension ref="A1:J15"/>
  <sheetViews>
    <sheetView zoomScale="80" workbookViewId="0">
      <selection activeCell="M13" sqref="M13"/>
    </sheetView>
  </sheetViews>
  <sheetFormatPr defaultColWidth="8.90625" defaultRowHeight="14" x14ac:dyDescent="0.3"/>
  <cols>
    <col min="1" max="5" width="8.90625" style="12"/>
    <col min="6" max="6" width="10.08984375" style="12" bestFit="1" customWidth="1"/>
    <col min="7" max="8" width="8.90625" style="12"/>
    <col min="9" max="9" width="10.08984375" style="12" bestFit="1" customWidth="1"/>
    <col min="10" max="16384" width="8.90625" style="12"/>
  </cols>
  <sheetData>
    <row r="1" spans="1:10" x14ac:dyDescent="0.3">
      <c r="A1" s="1"/>
    </row>
    <row r="2" spans="1:10" x14ac:dyDescent="0.3">
      <c r="B2" s="328" t="s">
        <v>168</v>
      </c>
      <c r="C2" s="328"/>
      <c r="D2" s="328"/>
      <c r="E2" s="328"/>
      <c r="F2" s="328"/>
      <c r="G2" s="328"/>
      <c r="H2" s="328"/>
      <c r="I2" s="328"/>
      <c r="J2" s="328"/>
    </row>
    <row r="3" spans="1:10" x14ac:dyDescent="0.3">
      <c r="B3" s="328"/>
      <c r="C3" s="328"/>
      <c r="D3" s="328"/>
      <c r="E3" s="328"/>
      <c r="F3" s="328"/>
      <c r="G3" s="328"/>
      <c r="H3" s="328"/>
      <c r="I3" s="328"/>
      <c r="J3" s="328"/>
    </row>
    <row r="5" spans="1:10" x14ac:dyDescent="0.3">
      <c r="B5" s="102" t="s">
        <v>169</v>
      </c>
    </row>
    <row r="6" spans="1:10" ht="14.5" thickBot="1" x14ac:dyDescent="0.35">
      <c r="D6" s="137"/>
      <c r="E6" s="138" t="s">
        <v>170</v>
      </c>
      <c r="F6" s="138"/>
      <c r="H6" s="139"/>
      <c r="I6" s="138" t="s">
        <v>171</v>
      </c>
      <c r="J6" s="139"/>
    </row>
    <row r="7" spans="1:10" ht="14.5" thickTop="1" x14ac:dyDescent="0.3"/>
    <row r="9" spans="1:10" x14ac:dyDescent="0.3">
      <c r="B9" s="12" t="s">
        <v>172</v>
      </c>
      <c r="F9" s="26">
        <v>3500</v>
      </c>
      <c r="G9" s="130"/>
      <c r="H9" s="130"/>
      <c r="I9" s="133">
        <f>+F9</f>
        <v>3500</v>
      </c>
    </row>
    <row r="10" spans="1:10" x14ac:dyDescent="0.3">
      <c r="B10" s="12" t="s">
        <v>173</v>
      </c>
      <c r="F10" s="26">
        <v>600</v>
      </c>
      <c r="G10" s="130"/>
      <c r="H10" s="130"/>
      <c r="I10" s="26">
        <v>0</v>
      </c>
    </row>
    <row r="11" spans="1:10" x14ac:dyDescent="0.3">
      <c r="B11" s="12" t="s">
        <v>174</v>
      </c>
      <c r="F11" s="26">
        <v>45</v>
      </c>
      <c r="G11" s="130"/>
      <c r="H11" s="130"/>
      <c r="I11" s="26">
        <v>900</v>
      </c>
    </row>
    <row r="12" spans="1:10" x14ac:dyDescent="0.3">
      <c r="B12" s="13" t="s">
        <v>123</v>
      </c>
      <c r="C12" s="13"/>
      <c r="D12" s="13"/>
      <c r="E12" s="13"/>
      <c r="F12" s="131">
        <f>+-350</f>
        <v>-350</v>
      </c>
      <c r="G12" s="132"/>
      <c r="H12" s="132"/>
      <c r="I12" s="131">
        <f>+-95</f>
        <v>-95</v>
      </c>
      <c r="J12" s="13"/>
    </row>
    <row r="13" spans="1:10" x14ac:dyDescent="0.3">
      <c r="B13" s="18" t="s">
        <v>175</v>
      </c>
      <c r="C13" s="18"/>
      <c r="D13" s="18"/>
      <c r="E13" s="18"/>
      <c r="F13" s="134">
        <f>+F9+F10+F11-F12</f>
        <v>4495</v>
      </c>
      <c r="G13" s="18"/>
      <c r="H13" s="18"/>
      <c r="I13" s="134">
        <f>+I9+I10+I11-I12</f>
        <v>4495</v>
      </c>
      <c r="J13" s="18"/>
    </row>
    <row r="15" spans="1:10" x14ac:dyDescent="0.3">
      <c r="B15" s="135" t="s">
        <v>176</v>
      </c>
      <c r="C15" s="135"/>
      <c r="D15" s="135"/>
      <c r="E15" s="135"/>
      <c r="F15" s="136">
        <f>+(F10+F11+F12)/F9</f>
        <v>8.4285714285714283E-2</v>
      </c>
      <c r="G15" s="135"/>
      <c r="H15" s="135"/>
      <c r="I15" s="136">
        <f>+(I10+I11+I12)/I9</f>
        <v>0.23</v>
      </c>
      <c r="J15" s="135"/>
    </row>
  </sheetData>
  <mergeCells count="1">
    <mergeCell ref="B2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EB7B9-7E80-4596-BC06-A03E5D76E401}">
  <dimension ref="B2:F17"/>
  <sheetViews>
    <sheetView zoomScale="77" workbookViewId="0">
      <selection activeCell="O16" sqref="O16"/>
    </sheetView>
  </sheetViews>
  <sheetFormatPr defaultColWidth="8.90625" defaultRowHeight="14" x14ac:dyDescent="0.3"/>
  <cols>
    <col min="1" max="16384" width="8.90625" style="12"/>
  </cols>
  <sheetData>
    <row r="2" spans="2:6" x14ac:dyDescent="0.3">
      <c r="B2" s="329" t="s">
        <v>177</v>
      </c>
      <c r="C2" s="329"/>
      <c r="D2" s="329"/>
      <c r="E2" s="329"/>
      <c r="F2" s="329"/>
    </row>
    <row r="3" spans="2:6" x14ac:dyDescent="0.3">
      <c r="B3" s="329"/>
      <c r="C3" s="329"/>
      <c r="D3" s="329"/>
      <c r="E3" s="329"/>
      <c r="F3" s="329"/>
    </row>
    <row r="5" spans="2:6" x14ac:dyDescent="0.3">
      <c r="B5" s="140" t="s">
        <v>178</v>
      </c>
      <c r="C5" s="141"/>
      <c r="D5" s="141"/>
      <c r="E5" s="141"/>
      <c r="F5" s="142" t="s">
        <v>179</v>
      </c>
    </row>
    <row r="7" spans="2:6" x14ac:dyDescent="0.3">
      <c r="B7" s="12" t="s">
        <v>180</v>
      </c>
      <c r="F7" s="145">
        <v>2000</v>
      </c>
    </row>
    <row r="8" spans="2:6" x14ac:dyDescent="0.3">
      <c r="B8" s="12" t="s">
        <v>181</v>
      </c>
      <c r="F8" s="148">
        <f>+-(F14*F15)</f>
        <v>-50</v>
      </c>
    </row>
    <row r="9" spans="2:6" x14ac:dyDescent="0.3">
      <c r="B9" s="12" t="s">
        <v>182</v>
      </c>
      <c r="F9" s="148">
        <f>+F16*F17</f>
        <v>-5</v>
      </c>
    </row>
    <row r="10" spans="2:6" x14ac:dyDescent="0.3">
      <c r="B10" s="39" t="s">
        <v>177</v>
      </c>
      <c r="C10" s="39"/>
      <c r="D10" s="39"/>
      <c r="E10" s="39"/>
      <c r="F10" s="149">
        <f>SUM(F7:F9)/F7</f>
        <v>0.97250000000000003</v>
      </c>
    </row>
    <row r="12" spans="2:6" x14ac:dyDescent="0.3">
      <c r="B12" s="143" t="s">
        <v>183</v>
      </c>
      <c r="C12" s="143"/>
      <c r="D12" s="143"/>
      <c r="E12" s="143"/>
      <c r="F12" s="143"/>
    </row>
    <row r="14" spans="2:6" x14ac:dyDescent="0.3">
      <c r="B14" s="144" t="s">
        <v>184</v>
      </c>
      <c r="F14" s="145">
        <v>5</v>
      </c>
    </row>
    <row r="15" spans="2:6" x14ac:dyDescent="0.3">
      <c r="B15" s="144" t="s">
        <v>152</v>
      </c>
      <c r="F15" s="146">
        <v>10</v>
      </c>
    </row>
    <row r="16" spans="2:6" x14ac:dyDescent="0.3">
      <c r="B16" s="144" t="s">
        <v>185</v>
      </c>
      <c r="F16" s="145">
        <v>5</v>
      </c>
    </row>
    <row r="17" spans="2:6" x14ac:dyDescent="0.3">
      <c r="B17" s="144" t="s">
        <v>186</v>
      </c>
      <c r="F17" s="147">
        <f>+-(1)</f>
        <v>-1</v>
      </c>
    </row>
  </sheetData>
  <mergeCells count="1">
    <mergeCell ref="B2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E31A5-BC23-44A7-ADB3-EB3ECC4DDE54}">
  <dimension ref="B3:F19"/>
  <sheetViews>
    <sheetView workbookViewId="0">
      <selection activeCell="F19" sqref="F19"/>
    </sheetView>
  </sheetViews>
  <sheetFormatPr defaultColWidth="8.90625" defaultRowHeight="12.5" x14ac:dyDescent="0.25"/>
  <cols>
    <col min="1" max="16384" width="8.90625" style="1"/>
  </cols>
  <sheetData>
    <row r="3" spans="2:6" x14ac:dyDescent="0.25">
      <c r="B3" s="330" t="s">
        <v>188</v>
      </c>
      <c r="C3" s="330"/>
      <c r="D3" s="330"/>
      <c r="E3" s="330"/>
      <c r="F3" s="330"/>
    </row>
    <row r="4" spans="2:6" x14ac:dyDescent="0.25">
      <c r="B4" s="330"/>
      <c r="C4" s="330"/>
      <c r="D4" s="330"/>
      <c r="E4" s="330"/>
      <c r="F4" s="330"/>
    </row>
    <row r="6" spans="2:6" ht="13" x14ac:dyDescent="0.25">
      <c r="B6" s="155" t="s">
        <v>188</v>
      </c>
      <c r="C6" s="155"/>
      <c r="D6" s="155"/>
      <c r="E6" s="4"/>
      <c r="F6" s="4"/>
    </row>
    <row r="7" spans="2:6" ht="14" x14ac:dyDescent="0.25">
      <c r="B7" s="151"/>
      <c r="C7" s="152"/>
      <c r="D7" s="152"/>
      <c r="F7" s="124" t="s">
        <v>179</v>
      </c>
    </row>
    <row r="8" spans="2:6" ht="14" x14ac:dyDescent="0.25">
      <c r="B8" s="151"/>
      <c r="C8" s="152"/>
      <c r="D8" s="152"/>
    </row>
    <row r="9" spans="2:6" ht="14" x14ac:dyDescent="0.25">
      <c r="B9" s="154" t="s">
        <v>189</v>
      </c>
      <c r="C9" s="153"/>
      <c r="D9" s="153"/>
      <c r="F9" s="160">
        <v>8000</v>
      </c>
    </row>
    <row r="10" spans="2:6" ht="14" x14ac:dyDescent="0.25">
      <c r="B10" s="154" t="s">
        <v>190</v>
      </c>
      <c r="C10" s="153"/>
      <c r="D10" s="153"/>
      <c r="F10" s="1">
        <v>20</v>
      </c>
    </row>
    <row r="11" spans="2:6" ht="14" x14ac:dyDescent="0.3">
      <c r="B11" s="161" t="s">
        <v>191</v>
      </c>
      <c r="C11" s="162"/>
      <c r="D11" s="162"/>
      <c r="E11" s="125"/>
      <c r="F11" s="163">
        <f>+F9/F10</f>
        <v>400</v>
      </c>
    </row>
    <row r="12" spans="2:6" ht="14" x14ac:dyDescent="0.25">
      <c r="B12" s="154"/>
      <c r="C12" s="153"/>
      <c r="D12" s="153"/>
    </row>
    <row r="13" spans="2:6" ht="14" x14ac:dyDescent="0.25">
      <c r="B13" s="154" t="s">
        <v>165</v>
      </c>
      <c r="C13" s="152"/>
      <c r="D13" s="152"/>
      <c r="F13" s="164">
        <v>900</v>
      </c>
    </row>
    <row r="14" spans="2:6" ht="14" x14ac:dyDescent="0.25">
      <c r="B14" s="154" t="s">
        <v>190</v>
      </c>
      <c r="C14" s="152"/>
      <c r="D14" s="152"/>
      <c r="F14" s="113">
        <v>40</v>
      </c>
    </row>
    <row r="15" spans="2:6" ht="14" x14ac:dyDescent="0.3">
      <c r="B15" s="165" t="s">
        <v>192</v>
      </c>
      <c r="C15" s="166"/>
      <c r="D15" s="166"/>
      <c r="E15" s="167"/>
      <c r="F15" s="168">
        <f>+F13/F14</f>
        <v>22.5</v>
      </c>
    </row>
    <row r="16" spans="2:6" ht="14" x14ac:dyDescent="0.25">
      <c r="B16" s="154"/>
      <c r="C16" s="153"/>
      <c r="D16" s="153"/>
    </row>
    <row r="17" spans="2:6" ht="14" x14ac:dyDescent="0.25">
      <c r="B17" s="156" t="s">
        <v>112</v>
      </c>
      <c r="C17" s="157"/>
      <c r="D17" s="157"/>
      <c r="E17" s="158"/>
      <c r="F17" s="169">
        <v>0.8</v>
      </c>
    </row>
    <row r="18" spans="2:6" ht="14" x14ac:dyDescent="0.25">
      <c r="B18" s="154"/>
      <c r="C18" s="153"/>
      <c r="D18" s="153"/>
    </row>
    <row r="19" spans="2:6" ht="13" x14ac:dyDescent="0.3">
      <c r="B19" s="156" t="s">
        <v>193</v>
      </c>
      <c r="C19" s="159"/>
      <c r="D19" s="159"/>
      <c r="E19" s="158"/>
      <c r="F19" s="170">
        <f>+F11/(F15*F17)</f>
        <v>22.222222222222221</v>
      </c>
    </row>
  </sheetData>
  <mergeCells count="1">
    <mergeCell ref="B3:F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9923-6D03-4FE0-A8EC-76517A86E650}">
  <dimension ref="B2:P31"/>
  <sheetViews>
    <sheetView topLeftCell="A5" workbookViewId="0">
      <selection activeCell="E5" sqref="E5"/>
    </sheetView>
  </sheetViews>
  <sheetFormatPr defaultColWidth="8.90625" defaultRowHeight="12.5" x14ac:dyDescent="0.25"/>
  <cols>
    <col min="1" max="2" width="8.90625" style="1"/>
    <col min="3" max="3" width="6.36328125" style="1" customWidth="1"/>
    <col min="4" max="9" width="11" style="1" bestFit="1" customWidth="1"/>
    <col min="10" max="10" width="12.90625" style="1" customWidth="1"/>
    <col min="11" max="15" width="11" style="1" bestFit="1" customWidth="1"/>
    <col min="16" max="16384" width="8.90625" style="1"/>
  </cols>
  <sheetData>
    <row r="2" spans="2:15" ht="13.25" x14ac:dyDescent="0.25">
      <c r="B2" s="171" t="s">
        <v>194</v>
      </c>
      <c r="C2" s="171"/>
      <c r="D2" s="171"/>
      <c r="E2" s="171"/>
      <c r="F2" s="171"/>
      <c r="G2" s="171"/>
      <c r="H2" s="171"/>
      <c r="J2" s="171" t="s">
        <v>208</v>
      </c>
      <c r="K2" s="171"/>
    </row>
    <row r="3" spans="2:15" ht="13.25" x14ac:dyDescent="0.25">
      <c r="B3" s="172" t="s">
        <v>195</v>
      </c>
      <c r="C3" s="172"/>
      <c r="D3" s="172" t="s">
        <v>196</v>
      </c>
      <c r="E3" s="172" t="s">
        <v>197</v>
      </c>
      <c r="F3" s="172" t="s">
        <v>198</v>
      </c>
      <c r="G3" s="172" t="s">
        <v>205</v>
      </c>
      <c r="H3" s="172" t="s">
        <v>199</v>
      </c>
      <c r="J3" s="1" t="s">
        <v>209</v>
      </c>
      <c r="K3" s="97">
        <f>+D15+E15</f>
        <v>24000</v>
      </c>
    </row>
    <row r="4" spans="2:15" ht="13.25" x14ac:dyDescent="0.25">
      <c r="B4" s="1" t="s">
        <v>201</v>
      </c>
      <c r="D4" s="175" t="s">
        <v>204</v>
      </c>
      <c r="E4" s="176">
        <v>4</v>
      </c>
      <c r="F4" s="177">
        <v>44562</v>
      </c>
      <c r="G4" s="178">
        <v>24000</v>
      </c>
      <c r="H4" s="179">
        <f>+G4/E4</f>
        <v>6000</v>
      </c>
      <c r="J4" s="1" t="s">
        <v>210</v>
      </c>
      <c r="K4" s="97">
        <f>+D23+E23</f>
        <v>6222.2222222222226</v>
      </c>
    </row>
    <row r="5" spans="2:15" ht="13.25" x14ac:dyDescent="0.25">
      <c r="B5" s="1" t="s">
        <v>202</v>
      </c>
      <c r="D5" s="175" t="s">
        <v>203</v>
      </c>
      <c r="E5" s="176">
        <v>3</v>
      </c>
      <c r="F5" s="177">
        <v>44593</v>
      </c>
      <c r="G5" s="178">
        <v>8000</v>
      </c>
      <c r="H5" s="179">
        <f>+G5/E5</f>
        <v>2666.6666666666665</v>
      </c>
      <c r="J5" s="1" t="s">
        <v>128</v>
      </c>
      <c r="K5" s="97">
        <f>+D31+E31</f>
        <v>1222.2222222222222</v>
      </c>
    </row>
    <row r="7" spans="2:15" ht="13.25" x14ac:dyDescent="0.25">
      <c r="B7" s="113" t="s">
        <v>200</v>
      </c>
      <c r="C7" s="1" t="s">
        <v>206</v>
      </c>
    </row>
    <row r="8" spans="2:15" ht="13.25" x14ac:dyDescent="0.25">
      <c r="B8" s="113" t="s">
        <v>199</v>
      </c>
      <c r="C8" s="1" t="s">
        <v>207</v>
      </c>
    </row>
    <row r="11" spans="2:15" ht="13.25" x14ac:dyDescent="0.25">
      <c r="B11" s="180" t="s">
        <v>211</v>
      </c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</row>
    <row r="12" spans="2:15" ht="13.25" x14ac:dyDescent="0.25">
      <c r="B12" s="181" t="s">
        <v>212</v>
      </c>
      <c r="C12" s="182"/>
      <c r="D12" s="183">
        <v>44562</v>
      </c>
      <c r="E12" s="183">
        <v>44563</v>
      </c>
      <c r="F12" s="183">
        <v>44564</v>
      </c>
      <c r="G12" s="183">
        <v>44565</v>
      </c>
      <c r="H12" s="183">
        <v>44566</v>
      </c>
      <c r="I12" s="183">
        <v>44567</v>
      </c>
      <c r="J12" s="183">
        <v>44568</v>
      </c>
      <c r="K12" s="183">
        <v>44569</v>
      </c>
      <c r="L12" s="183">
        <v>44570</v>
      </c>
      <c r="M12" s="183">
        <v>44571</v>
      </c>
      <c r="N12" s="183">
        <v>44572</v>
      </c>
      <c r="O12" s="183">
        <v>44573</v>
      </c>
    </row>
    <row r="13" spans="2:15" ht="13.25" x14ac:dyDescent="0.25">
      <c r="B13" s="184" t="s">
        <v>201</v>
      </c>
      <c r="C13" s="184"/>
      <c r="D13" s="191">
        <f>+SUMIFS($G$4,$F$4,D$12)</f>
        <v>24000</v>
      </c>
      <c r="E13" s="189">
        <f t="shared" ref="E13:O13" si="0">+SUMIFS($G$4,$F$4,E$12)</f>
        <v>0</v>
      </c>
      <c r="F13" s="189">
        <f t="shared" si="0"/>
        <v>0</v>
      </c>
      <c r="G13" s="189">
        <f t="shared" si="0"/>
        <v>0</v>
      </c>
      <c r="H13" s="189">
        <f t="shared" si="0"/>
        <v>0</v>
      </c>
      <c r="I13" s="189">
        <f t="shared" si="0"/>
        <v>0</v>
      </c>
      <c r="J13" s="189">
        <f t="shared" si="0"/>
        <v>0</v>
      </c>
      <c r="K13" s="189">
        <f t="shared" si="0"/>
        <v>0</v>
      </c>
      <c r="L13" s="189">
        <f t="shared" si="0"/>
        <v>0</v>
      </c>
      <c r="M13" s="189">
        <f t="shared" si="0"/>
        <v>0</v>
      </c>
      <c r="N13" s="189">
        <f t="shared" si="0"/>
        <v>0</v>
      </c>
      <c r="O13" s="189">
        <f t="shared" si="0"/>
        <v>0</v>
      </c>
    </row>
    <row r="14" spans="2:15" ht="13.25" x14ac:dyDescent="0.25">
      <c r="B14" s="104" t="s">
        <v>202</v>
      </c>
      <c r="C14" s="104"/>
      <c r="D14" s="190">
        <f>+SUMIFS($G$5,$F$5,D$12)</f>
        <v>0</v>
      </c>
      <c r="E14" s="190">
        <f t="shared" ref="E14:O14" si="1">+SUMIFS($G$5,$F$5,E$12)</f>
        <v>0</v>
      </c>
      <c r="F14" s="190">
        <f t="shared" si="1"/>
        <v>0</v>
      </c>
      <c r="G14" s="190">
        <f t="shared" si="1"/>
        <v>0</v>
      </c>
      <c r="H14" s="190">
        <f t="shared" si="1"/>
        <v>0</v>
      </c>
      <c r="I14" s="190">
        <f t="shared" si="1"/>
        <v>0</v>
      </c>
      <c r="J14" s="190">
        <f t="shared" si="1"/>
        <v>0</v>
      </c>
      <c r="K14" s="190">
        <f t="shared" si="1"/>
        <v>0</v>
      </c>
      <c r="L14" s="190">
        <f t="shared" si="1"/>
        <v>0</v>
      </c>
      <c r="M14" s="190">
        <f t="shared" si="1"/>
        <v>0</v>
      </c>
      <c r="N14" s="190">
        <f t="shared" si="1"/>
        <v>0</v>
      </c>
      <c r="O14" s="190">
        <f t="shared" si="1"/>
        <v>0</v>
      </c>
    </row>
    <row r="15" spans="2:15" ht="13.25" x14ac:dyDescent="0.25">
      <c r="B15" s="192" t="s">
        <v>209</v>
      </c>
      <c r="C15" s="192"/>
      <c r="D15" s="193">
        <f>+SUM(D13:D14)</f>
        <v>24000</v>
      </c>
      <c r="E15" s="193">
        <f t="shared" ref="E15:O15" si="2">+SUM(E13:E14)</f>
        <v>0</v>
      </c>
      <c r="F15" s="193">
        <f t="shared" si="2"/>
        <v>0</v>
      </c>
      <c r="G15" s="193">
        <f t="shared" si="2"/>
        <v>0</v>
      </c>
      <c r="H15" s="193">
        <f t="shared" si="2"/>
        <v>0</v>
      </c>
      <c r="I15" s="193">
        <f t="shared" si="2"/>
        <v>0</v>
      </c>
      <c r="J15" s="193">
        <f t="shared" si="2"/>
        <v>0</v>
      </c>
      <c r="K15" s="193">
        <f t="shared" si="2"/>
        <v>0</v>
      </c>
      <c r="L15" s="193">
        <f t="shared" si="2"/>
        <v>0</v>
      </c>
      <c r="M15" s="193">
        <f t="shared" si="2"/>
        <v>0</v>
      </c>
      <c r="N15" s="193">
        <f t="shared" si="2"/>
        <v>0</v>
      </c>
      <c r="O15" s="193">
        <f t="shared" si="2"/>
        <v>0</v>
      </c>
    </row>
    <row r="16" spans="2:15" ht="13.25" x14ac:dyDescent="0.25"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</row>
    <row r="17" spans="2:16" ht="13.25" x14ac:dyDescent="0.25"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</row>
    <row r="18" spans="2:16" ht="13.25" x14ac:dyDescent="0.25"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</row>
    <row r="19" spans="2:16" ht="13.25" x14ac:dyDescent="0.25">
      <c r="B19" s="185" t="s">
        <v>213</v>
      </c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</row>
    <row r="20" spans="2:16" ht="13.25" x14ac:dyDescent="0.25">
      <c r="B20" s="181" t="s">
        <v>212</v>
      </c>
      <c r="C20" s="182"/>
      <c r="D20" s="183">
        <v>44592</v>
      </c>
      <c r="E20" s="183">
        <v>44620</v>
      </c>
      <c r="F20" s="183">
        <v>44651</v>
      </c>
      <c r="G20" s="183">
        <v>44681</v>
      </c>
      <c r="H20" s="183">
        <v>44712</v>
      </c>
      <c r="I20" s="183">
        <v>44742</v>
      </c>
      <c r="J20" s="183">
        <v>44773</v>
      </c>
      <c r="K20" s="183">
        <v>44773</v>
      </c>
      <c r="L20" s="183">
        <v>44834</v>
      </c>
      <c r="M20" s="183">
        <v>44865</v>
      </c>
      <c r="N20" s="183">
        <v>44895</v>
      </c>
      <c r="O20" s="183">
        <v>44926</v>
      </c>
    </row>
    <row r="21" spans="2:16" ht="13.25" x14ac:dyDescent="0.25">
      <c r="B21" s="184" t="s">
        <v>201</v>
      </c>
      <c r="C21" s="184"/>
      <c r="D21" s="195">
        <f>+IF(MONTH(D$20)=MONTH($F4),$H4,0)</f>
        <v>6000</v>
      </c>
      <c r="E21" s="195">
        <f t="shared" ref="E21:O21" si="3">+IF(MONTH(E$20)=MONTH($F4),$H4,0)</f>
        <v>0</v>
      </c>
      <c r="F21" s="195">
        <f t="shared" si="3"/>
        <v>0</v>
      </c>
      <c r="G21" s="195">
        <f t="shared" si="3"/>
        <v>0</v>
      </c>
      <c r="H21" s="195">
        <f t="shared" si="3"/>
        <v>0</v>
      </c>
      <c r="I21" s="195">
        <f t="shared" si="3"/>
        <v>0</v>
      </c>
      <c r="J21" s="195">
        <f t="shared" si="3"/>
        <v>0</v>
      </c>
      <c r="K21" s="195">
        <f t="shared" si="3"/>
        <v>0</v>
      </c>
      <c r="L21" s="195">
        <f t="shared" si="3"/>
        <v>0</v>
      </c>
      <c r="M21" s="195">
        <f t="shared" si="3"/>
        <v>0</v>
      </c>
      <c r="N21" s="195">
        <f t="shared" si="3"/>
        <v>0</v>
      </c>
      <c r="O21" s="195">
        <f t="shared" si="3"/>
        <v>0</v>
      </c>
      <c r="P21" s="189"/>
    </row>
    <row r="22" spans="2:16" ht="13.25" x14ac:dyDescent="0.25">
      <c r="B22" s="104" t="s">
        <v>202</v>
      </c>
      <c r="C22" s="104"/>
      <c r="D22" s="196">
        <f>+IF(MONTH(D$20)&gt;=MONTH($F5),$H5/12,0)</f>
        <v>0</v>
      </c>
      <c r="E22" s="196">
        <f t="shared" ref="E22:O22" si="4">+IF(MONTH(E$20)&gt;=MONTH($F5),$H5/12,0)</f>
        <v>222.2222222222222</v>
      </c>
      <c r="F22" s="196">
        <f t="shared" si="4"/>
        <v>222.2222222222222</v>
      </c>
      <c r="G22" s="196">
        <f t="shared" si="4"/>
        <v>222.2222222222222</v>
      </c>
      <c r="H22" s="196">
        <f t="shared" si="4"/>
        <v>222.2222222222222</v>
      </c>
      <c r="I22" s="196">
        <f t="shared" si="4"/>
        <v>222.2222222222222</v>
      </c>
      <c r="J22" s="196">
        <f t="shared" si="4"/>
        <v>222.2222222222222</v>
      </c>
      <c r="K22" s="196">
        <f t="shared" si="4"/>
        <v>222.2222222222222</v>
      </c>
      <c r="L22" s="196">
        <f t="shared" si="4"/>
        <v>222.2222222222222</v>
      </c>
      <c r="M22" s="196">
        <f t="shared" si="4"/>
        <v>222.2222222222222</v>
      </c>
      <c r="N22" s="196">
        <f t="shared" si="4"/>
        <v>222.2222222222222</v>
      </c>
      <c r="O22" s="196">
        <f t="shared" si="4"/>
        <v>222.2222222222222</v>
      </c>
    </row>
    <row r="23" spans="2:16" ht="13.25" x14ac:dyDescent="0.25">
      <c r="B23" s="192" t="s">
        <v>210</v>
      </c>
      <c r="C23" s="192"/>
      <c r="D23" s="194">
        <f>+D22+D21</f>
        <v>6000</v>
      </c>
      <c r="E23" s="194">
        <f t="shared" ref="E23:O23" si="5">+E22+E21</f>
        <v>222.2222222222222</v>
      </c>
      <c r="F23" s="194">
        <f t="shared" si="5"/>
        <v>222.2222222222222</v>
      </c>
      <c r="G23" s="194">
        <f t="shared" si="5"/>
        <v>222.2222222222222</v>
      </c>
      <c r="H23" s="194">
        <f t="shared" si="5"/>
        <v>222.2222222222222</v>
      </c>
      <c r="I23" s="194">
        <f t="shared" si="5"/>
        <v>222.2222222222222</v>
      </c>
      <c r="J23" s="194">
        <f t="shared" si="5"/>
        <v>222.2222222222222</v>
      </c>
      <c r="K23" s="194">
        <f t="shared" si="5"/>
        <v>222.2222222222222</v>
      </c>
      <c r="L23" s="194">
        <f t="shared" si="5"/>
        <v>222.2222222222222</v>
      </c>
      <c r="M23" s="194">
        <f t="shared" si="5"/>
        <v>222.2222222222222</v>
      </c>
      <c r="N23" s="194">
        <f t="shared" si="5"/>
        <v>222.2222222222222</v>
      </c>
      <c r="O23" s="194">
        <f t="shared" si="5"/>
        <v>222.2222222222222</v>
      </c>
    </row>
    <row r="24" spans="2:16" ht="13.25" x14ac:dyDescent="0.25"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</row>
    <row r="25" spans="2:16" ht="13.25" x14ac:dyDescent="0.25"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</row>
    <row r="26" spans="2:16" ht="13.25" x14ac:dyDescent="0.25"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</row>
    <row r="27" spans="2:16" ht="13.25" x14ac:dyDescent="0.25">
      <c r="B27" s="187" t="s">
        <v>214</v>
      </c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</row>
    <row r="28" spans="2:16" ht="13.25" x14ac:dyDescent="0.25">
      <c r="B28" s="181" t="s">
        <v>212</v>
      </c>
      <c r="C28" s="182"/>
      <c r="D28" s="183">
        <v>44592</v>
      </c>
      <c r="E28" s="183">
        <v>44620</v>
      </c>
      <c r="F28" s="183">
        <v>44651</v>
      </c>
      <c r="G28" s="183">
        <v>44681</v>
      </c>
      <c r="H28" s="183">
        <v>44712</v>
      </c>
      <c r="I28" s="183">
        <v>44742</v>
      </c>
      <c r="J28" s="183">
        <v>44773</v>
      </c>
      <c r="K28" s="183">
        <v>44773</v>
      </c>
      <c r="L28" s="183">
        <v>44834</v>
      </c>
      <c r="M28" s="183">
        <v>44865</v>
      </c>
      <c r="N28" s="183">
        <v>44895</v>
      </c>
      <c r="O28" s="183">
        <v>44926</v>
      </c>
    </row>
    <row r="29" spans="2:16" ht="13.25" x14ac:dyDescent="0.25">
      <c r="B29" s="184" t="s">
        <v>201</v>
      </c>
      <c r="C29" s="197"/>
      <c r="D29" s="198">
        <f>+IF(AND($D4="Annually",D$28&gt;=$F4),$H$4/12,IF(AND($D4="Monthly",D$20&gt;=$F4),D21,0))</f>
        <v>500</v>
      </c>
      <c r="E29" s="198">
        <f t="shared" ref="E29:O29" si="6">+IF(AND($D4="Annually",E$28&gt;=$F4),$H$4/12,IF(AND($D4="Monthly",E$20&gt;=$F4),E21,0))</f>
        <v>500</v>
      </c>
      <c r="F29" s="198">
        <f t="shared" si="6"/>
        <v>500</v>
      </c>
      <c r="G29" s="198">
        <f t="shared" si="6"/>
        <v>500</v>
      </c>
      <c r="H29" s="198">
        <f t="shared" si="6"/>
        <v>500</v>
      </c>
      <c r="I29" s="198">
        <f t="shared" si="6"/>
        <v>500</v>
      </c>
      <c r="J29" s="198">
        <f t="shared" si="6"/>
        <v>500</v>
      </c>
      <c r="K29" s="198">
        <f t="shared" si="6"/>
        <v>500</v>
      </c>
      <c r="L29" s="198">
        <f t="shared" si="6"/>
        <v>500</v>
      </c>
      <c r="M29" s="198">
        <f t="shared" si="6"/>
        <v>500</v>
      </c>
      <c r="N29" s="198">
        <f t="shared" si="6"/>
        <v>500</v>
      </c>
      <c r="O29" s="198">
        <f t="shared" si="6"/>
        <v>500</v>
      </c>
    </row>
    <row r="30" spans="2:16" ht="13.25" x14ac:dyDescent="0.25">
      <c r="B30" s="104" t="s">
        <v>202</v>
      </c>
      <c r="C30" s="104"/>
      <c r="D30" s="190">
        <f>+IF(AND($D5="Annually",D$28&gt;=$F5),$H$4/12,IF(AND($D5="Monthly",D$20&gt;=$F5),D22,0))</f>
        <v>0</v>
      </c>
      <c r="E30" s="190">
        <f t="shared" ref="E30:O30" si="7">+IF(AND($D5="Annually",E$28&gt;=$F5),$H$4/12,IF(AND($D5="Monthly",E$20&gt;=$F5),E22,0))</f>
        <v>222.2222222222222</v>
      </c>
      <c r="F30" s="190">
        <f t="shared" si="7"/>
        <v>222.2222222222222</v>
      </c>
      <c r="G30" s="190">
        <f t="shared" si="7"/>
        <v>222.2222222222222</v>
      </c>
      <c r="H30" s="190">
        <f t="shared" si="7"/>
        <v>222.2222222222222</v>
      </c>
      <c r="I30" s="190">
        <f t="shared" si="7"/>
        <v>222.2222222222222</v>
      </c>
      <c r="J30" s="190">
        <f t="shared" si="7"/>
        <v>222.2222222222222</v>
      </c>
      <c r="K30" s="190">
        <f t="shared" si="7"/>
        <v>222.2222222222222</v>
      </c>
      <c r="L30" s="190">
        <f t="shared" si="7"/>
        <v>222.2222222222222</v>
      </c>
      <c r="M30" s="190">
        <f t="shared" si="7"/>
        <v>222.2222222222222</v>
      </c>
      <c r="N30" s="190">
        <f t="shared" si="7"/>
        <v>222.2222222222222</v>
      </c>
      <c r="O30" s="190">
        <f t="shared" si="7"/>
        <v>222.2222222222222</v>
      </c>
    </row>
    <row r="31" spans="2:16" ht="13" x14ac:dyDescent="0.3">
      <c r="B31" s="6" t="s">
        <v>128</v>
      </c>
      <c r="C31" s="6"/>
      <c r="D31" s="101">
        <f>+D30+D29</f>
        <v>500</v>
      </c>
      <c r="E31" s="101">
        <f t="shared" ref="E31:O31" si="8">+E30+E29</f>
        <v>722.22222222222217</v>
      </c>
      <c r="F31" s="101">
        <f t="shared" si="8"/>
        <v>722.22222222222217</v>
      </c>
      <c r="G31" s="101">
        <f t="shared" si="8"/>
        <v>722.22222222222217</v>
      </c>
      <c r="H31" s="101">
        <f t="shared" si="8"/>
        <v>722.22222222222217</v>
      </c>
      <c r="I31" s="101">
        <f t="shared" si="8"/>
        <v>722.22222222222217</v>
      </c>
      <c r="J31" s="101">
        <f t="shared" si="8"/>
        <v>722.22222222222217</v>
      </c>
      <c r="K31" s="101">
        <f t="shared" si="8"/>
        <v>722.22222222222217</v>
      </c>
      <c r="L31" s="101">
        <f t="shared" si="8"/>
        <v>722.22222222222217</v>
      </c>
      <c r="M31" s="101">
        <f t="shared" si="8"/>
        <v>722.22222222222217</v>
      </c>
      <c r="N31" s="101">
        <f t="shared" si="8"/>
        <v>722.22222222222217</v>
      </c>
      <c r="O31" s="101">
        <f t="shared" si="8"/>
        <v>722.22222222222217</v>
      </c>
    </row>
  </sheetData>
  <dataValidations count="2">
    <dataValidation type="list" allowBlank="1" showInputMessage="1" showErrorMessage="1" sqref="D4" xr:uid="{46FE2901-9C95-4C42-9021-FEF212429CA7}">
      <formula1>"Monthly,Annually"</formula1>
    </dataValidation>
    <dataValidation type="list" allowBlank="1" showInputMessage="1" showErrorMessage="1" sqref="D5" xr:uid="{C2B4A8A2-1802-4AD2-AF8A-DEDCB3FE5266}">
      <formula1>"Annually,Monthly"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7686E-6422-4C5F-B855-9402385C141E}">
  <dimension ref="B2:H17"/>
  <sheetViews>
    <sheetView workbookViewId="0">
      <selection activeCell="H17" sqref="H17"/>
    </sheetView>
  </sheetViews>
  <sheetFormatPr defaultColWidth="8.90625" defaultRowHeight="12.5" x14ac:dyDescent="0.25"/>
  <cols>
    <col min="1" max="7" width="8.90625" style="1"/>
    <col min="8" max="8" width="10.6328125" style="1" bestFit="1" customWidth="1"/>
    <col min="9" max="16384" width="8.90625" style="1"/>
  </cols>
  <sheetData>
    <row r="2" spans="2:8" ht="13.25" x14ac:dyDescent="0.25">
      <c r="B2" s="199" t="s">
        <v>215</v>
      </c>
      <c r="C2" s="199"/>
      <c r="D2" s="199"/>
      <c r="E2" s="199"/>
      <c r="F2" s="199"/>
      <c r="G2" s="199"/>
      <c r="H2" s="199"/>
    </row>
    <row r="3" spans="2:8" ht="13.25" x14ac:dyDescent="0.25">
      <c r="B3" s="2"/>
      <c r="C3" s="2"/>
      <c r="D3" s="2"/>
      <c r="E3" s="2"/>
      <c r="F3" s="2"/>
      <c r="G3" s="2"/>
      <c r="H3" s="200">
        <v>44742</v>
      </c>
    </row>
    <row r="4" spans="2:8" ht="13.25" x14ac:dyDescent="0.25"/>
    <row r="5" spans="2:8" ht="13.25" x14ac:dyDescent="0.25">
      <c r="B5" s="201" t="s">
        <v>225</v>
      </c>
      <c r="C5" s="202"/>
      <c r="D5" s="202"/>
      <c r="E5" s="202"/>
    </row>
    <row r="6" spans="2:8" ht="13.25" x14ac:dyDescent="0.25">
      <c r="B6" s="203" t="s">
        <v>216</v>
      </c>
      <c r="C6" s="203"/>
      <c r="D6" s="203"/>
      <c r="E6" s="202"/>
      <c r="H6" s="205">
        <v>6000</v>
      </c>
    </row>
    <row r="7" spans="2:8" ht="13.25" x14ac:dyDescent="0.25">
      <c r="B7" s="203" t="s">
        <v>217</v>
      </c>
      <c r="C7" s="203"/>
      <c r="D7" s="203"/>
      <c r="E7" s="202"/>
      <c r="H7" s="123">
        <v>2000</v>
      </c>
    </row>
    <row r="8" spans="2:8" ht="13.25" x14ac:dyDescent="0.25">
      <c r="B8" s="203" t="s">
        <v>218</v>
      </c>
      <c r="C8" s="203"/>
      <c r="D8" s="203"/>
      <c r="E8" s="202"/>
      <c r="H8" s="206">
        <v>5.7500000000000002E-2</v>
      </c>
    </row>
    <row r="9" spans="2:8" ht="13.25" x14ac:dyDescent="0.25">
      <c r="B9" s="203" t="s">
        <v>219</v>
      </c>
      <c r="C9" s="203"/>
      <c r="D9" s="203"/>
      <c r="E9" s="202"/>
      <c r="H9" s="10">
        <f>+H8*H7</f>
        <v>115</v>
      </c>
    </row>
    <row r="10" spans="2:8" ht="13" x14ac:dyDescent="0.3">
      <c r="B10" s="207" t="s">
        <v>226</v>
      </c>
      <c r="C10" s="208"/>
      <c r="D10" s="208"/>
      <c r="E10" s="208"/>
      <c r="F10" s="209"/>
      <c r="G10" s="209"/>
      <c r="H10" s="210">
        <f>+H6/H9</f>
        <v>52.173913043478258</v>
      </c>
    </row>
    <row r="11" spans="2:8" ht="13.25" x14ac:dyDescent="0.25">
      <c r="B11" s="202"/>
      <c r="C11" s="202"/>
      <c r="D11" s="202"/>
      <c r="E11" s="202"/>
    </row>
    <row r="12" spans="2:8" ht="13.25" x14ac:dyDescent="0.25">
      <c r="B12" s="201" t="s">
        <v>220</v>
      </c>
      <c r="C12" s="202"/>
      <c r="D12" s="202"/>
      <c r="E12" s="202"/>
    </row>
    <row r="13" spans="2:8" ht="13.25" x14ac:dyDescent="0.25">
      <c r="B13" s="203" t="s">
        <v>221</v>
      </c>
      <c r="C13" s="203"/>
      <c r="D13" s="203"/>
      <c r="E13" s="202"/>
      <c r="H13" s="205">
        <v>20000</v>
      </c>
    </row>
    <row r="14" spans="2:8" ht="13.25" x14ac:dyDescent="0.25">
      <c r="B14" s="203" t="s">
        <v>222</v>
      </c>
      <c r="C14" s="203"/>
      <c r="D14" s="203"/>
      <c r="E14" s="202"/>
      <c r="H14" s="123">
        <v>3000</v>
      </c>
    </row>
    <row r="15" spans="2:8" ht="13.25" x14ac:dyDescent="0.25">
      <c r="B15" s="203" t="s">
        <v>223</v>
      </c>
      <c r="C15" s="203"/>
      <c r="D15" s="203"/>
      <c r="E15" s="202"/>
      <c r="H15" s="212">
        <v>0.06</v>
      </c>
    </row>
    <row r="16" spans="2:8" ht="13.25" x14ac:dyDescent="0.25">
      <c r="B16" s="203" t="s">
        <v>219</v>
      </c>
      <c r="C16" s="203"/>
      <c r="D16" s="203"/>
      <c r="E16" s="202"/>
      <c r="H16" s="10">
        <f>+H15*H14</f>
        <v>180</v>
      </c>
    </row>
    <row r="17" spans="2:8" ht="13" x14ac:dyDescent="0.3">
      <c r="B17" s="207" t="s">
        <v>224</v>
      </c>
      <c r="C17" s="208"/>
      <c r="D17" s="208"/>
      <c r="E17" s="208"/>
      <c r="F17" s="209"/>
      <c r="G17" s="209"/>
      <c r="H17" s="213">
        <f>+H13/H16</f>
        <v>111.11111111111111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5 a t w V a Q f V n + j A A A A 9 g A A A B I A H A B D b 2 5 m a W c v U G F j a 2 F n Z S 5 4 b W w g o h g A K K A U A A A A A A A A A A A A A A A A A A A A A A A A A A A A h Y + 9 D o I w G E V f h X S n f y 6 G f J T B u E l i Q m J c m 1 K h A Y q h x f J u D j 6 S r y B G U T f H e + 4 Z 7 r 1 f b 5 B N X R t d 9 O B M b 1 P E M E W R t q o v j a 1 S N P p T v E a Z g L 1 U j a x 0 N M v W J Z M r U 1 R 7 f 0 4 I C S H g s M L 9 U B F O K S P H f F e o W n c S f W T z X 4 6 N d V 5 a p Z G A w 2 u M 4 J g x i j n n m A J Z I O T G f g U + 7 3 2 2 P x A 2 Y + v H Q Q v t 4 m 0 B Z I l A 3 h / E A 1 B L A w Q U A A I A C A D l q 3 B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a t w V S i K R 7 g O A A A A E Q A A A B M A H A B G b 3 J t d W x h c y 9 T Z W N 0 a W 9 u M S 5 t I K I Y A C i g F A A A A A A A A A A A A A A A A A A A A A A A A A A A A C t O T S 7 J z M 9 T C I b Q h t Y A U E s B A i 0 A F A A C A A g A 5 a t w V a Q f V n + j A A A A 9 g A A A B I A A A A A A A A A A A A A A A A A A A A A A E N v b m Z p Z y 9 Q Y W N r Y W d l L n h t b F B L A Q I t A B Q A A g A I A O W r c F U P y u m r p A A A A O k A A A A T A A A A A A A A A A A A A A A A A O 8 A A A B b Q 2 9 u d G V u d F 9 U e X B l c 1 0 u e G 1 s U E s B A i 0 A F A A C A A g A 5 a t w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B i P e p s J w d O o v N m w 7 V b 8 V c A A A A A A g A A A A A A E G Y A A A A B A A A g A A A A 3 2 9 e 0 O Y N G U 0 e P n F A 4 v j I 3 J J i 5 g w O v R B a 6 I z k M j F p f p U A A A A A D o A A A A A C A A A g A A A A O O 3 p l 3 q q 8 Y R 1 O 9 d u X O j S Z x h B R K J h m y s f 8 9 R 5 y 3 d 2 I 2 F Q A A A A W R y T 2 l + A Q o T v l w 0 H N u i J T p u x Y J c 4 t L / j t c Z D 9 k V g K D g w v Y u V Y Q u T m g E z X G O a Y O y O v O x D u S L v a 3 V f G V i O 6 X 9 F D L H q B Y f l Z / Y f 4 i g y P e c + X R d A A A A A d 6 M i o L w h 1 V W t h b S n 7 U + N g x g v L x B Y 7 5 h 8 e d F 5 Y u b q f 9 E 3 r h q y i M i W S l V f n M t n h 3 m p 2 h 0 0 Q 9 0 A m W T H O G a 3 D e 7 z I g = = < / D a t a M a s h u p > 
</file>

<file path=customXml/itemProps1.xml><?xml version="1.0" encoding="utf-8"?>
<ds:datastoreItem xmlns:ds="http://schemas.openxmlformats.org/officeDocument/2006/customXml" ds:itemID="{F675029C-34B1-4354-BDD7-076AEFF80FC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 Cohort Analysis Example</vt:lpstr>
      <vt:lpstr>SaaS Main Fundamentals</vt:lpstr>
      <vt:lpstr>LTV CAC</vt:lpstr>
      <vt:lpstr> Customer Lifetime Value (CLV)</vt:lpstr>
      <vt:lpstr> Net revenue Retention (NRR)</vt:lpstr>
      <vt:lpstr>Gross Revenue Return</vt:lpstr>
      <vt:lpstr>CAC Payback Period</vt:lpstr>
      <vt:lpstr> Bookings &amp; Billings</vt:lpstr>
      <vt:lpstr> Cost Per Lead (CPL)</vt:lpstr>
      <vt:lpstr>Simple Model</vt:lpstr>
      <vt:lpstr>Recurring revenues KPI´s</vt:lpstr>
      <vt:lpstr>ARR&amp; Run Rate</vt:lpstr>
      <vt:lpstr> CMRR</vt:lpstr>
      <vt:lpstr>Customer Order Metrics</vt:lpstr>
      <vt:lpstr>ACV</vt:lpstr>
      <vt:lpstr>TCV</vt:lpstr>
      <vt:lpstr>AOV</vt:lpstr>
      <vt:lpstr>ARPA</vt:lpstr>
      <vt:lpstr>GMV</vt:lpstr>
      <vt:lpstr>Churn Rate Analisys</vt:lpstr>
      <vt:lpstr>Churn Rate Calculation</vt:lpstr>
      <vt:lpstr> SaaS Sales Efficiency</vt:lpstr>
      <vt:lpstr>SaaS Benchmarks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Paz Ambrosy</dc:creator>
  <cp:lastModifiedBy>Paz Ambrosy</cp:lastModifiedBy>
  <dcterms:created xsi:type="dcterms:W3CDTF">2022-10-19T04:15:33Z</dcterms:created>
  <dcterms:modified xsi:type="dcterms:W3CDTF">2026-03-10T21:32:54Z</dcterms:modified>
</cp:coreProperties>
</file>